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c686d8e3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CF" sheetId="1" r:id="R48b392771595475a"/>
    <x:sheet xmlns:r="http://schemas.openxmlformats.org/officeDocument/2006/relationships" name="Inputs" sheetId="2" r:id="Ra6b67526b779444e"/>
    <x:sheet xmlns:r="http://schemas.openxmlformats.org/officeDocument/2006/relationships" name="Review" sheetId="3" r:id="R67e5438b5f2942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.0%;(0.0%);&quot;—&quot;"/>
    <x:numFmt numFmtId="202" formatCode="&quot;Year &quot;0"/>
    <x:numFmt numFmtId="203" formatCode="0.000x"/>
    <x:numFmt numFmtId="204" formatCode="0.00;(0.00);0.00"/>
  </x:numFmts>
  <x:fonts count="11">
    <x:font>
      <x:sz val="11"/>
      <x:name val="Carlito"/>
    </x:font>
    <x:font>
      <x:sz val="10"/>
      <x:color rgb="FF162C3A"/>
      <x:name val="Arial"/>
    </x:font>
    <x:font>
      <x:b/>
      <x:sz val="16"/>
      <x:color rgb="FF162C3A"/>
      <x:name val="Arial"/>
    </x:font>
    <x:font>
      <x:sz val="10"/>
      <x:color rgb="FF111111"/>
      <x:name val="Arial"/>
    </x:font>
    <x:font>
      <x:b/>
      <x:sz val="14"/>
      <x:color rgb="FF162C3A"/>
      <x:name val="Arial"/>
    </x:font>
    <x:font>
      <x:b/>
      <x:sz val="10"/>
      <x:color rgb="FFFFFFFF"/>
      <x:name val="Arial"/>
    </x:font>
    <x:font>
      <x:sz val="10"/>
      <x:color rgb="FF21734B"/>
      <x:name val="Arial"/>
    </x:font>
    <x:font>
      <x:b/>
      <x:sz val="10"/>
      <x:color rgb="FF162C3A"/>
      <x:name val="Arial"/>
    </x:font>
    <x:font>
      <x:sz val="10"/>
      <x:color rgb="FF1B5AA3"/>
      <x:name val="Arial"/>
    </x:font>
    <x:font>
      <x:sz val="9"/>
      <x:color rgb="FF111111"/>
      <x:name val="Arial"/>
    </x:font>
    <x:font>
      <x:sz val="9"/>
      <x:color rgb="FF4B657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62C3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B39158"/>
      </x:bottom>
      <x:diagonal/>
    </x:border>
    <x:border>
      <x:left/>
      <x:right/>
      <x:top style="thin">
        <x:color rgb="FFCCD4DA"/>
      </x:top>
      <x:bottom/>
      <x:diagonal/>
    </x:border>
    <x:border>
      <x:left style="medium">
        <x:color rgb="FFB39158"/>
      </x:left>
      <x:right style="medium">
        <x:color rgb="FFB39158"/>
      </x:right>
      <x:top style="medium">
        <x:color rgb="FFB39158"/>
      </x:top>
      <x:bottom style="medium">
        <x:color rgb="FFB39158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201" fontId="8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A3029"/>
      </x:font>
      <x:fill>
        <x:patternFill patternType="solid">
          <x:bgColor rgb="FFFCE9E6"/>
        </x:patternFill>
      </x:fill>
    </x:dxf>
    <x:dxf>
      <x:font>
        <x:b/>
        <x:color rgb="FF9A3029"/>
      </x:font>
      <x:fill>
        <x:patternFill patternType="solid">
          <x:bgColor rgb="FFFCE9E6"/>
        </x:patternFill>
      </x:fill>
    </x:dxf>
    <x:dxf>
      <x:font>
        <x:b/>
        <x:color rgb="FF9A3029"/>
      </x:font>
      <x:fill>
        <x:patternFill patternType="solid">
          <x:bgColor rgb="FFFCE9E6"/>
        </x:patternFill>
      </x:fill>
    </x:dxf>
    <x:dxf>
      <x:font>
        <x:b/>
        <x:color rgb="FF9A3029"/>
      </x:font>
      <x:fill>
        <x:patternFill patternType="solid">
          <x:bgColor rgb="FFFC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f61724298430c" /><Relationship Type="http://schemas.openxmlformats.org/officeDocument/2006/relationships/theme" Target="/xl/theme/theme1.xml" Id="Rf1cf74db3e5a47ae" /><Relationship Type="http://schemas.openxmlformats.org/officeDocument/2006/relationships/sharedStrings" Target="/xl/sharedStrings.xml" Id="R1743794c0bc1486f" /><Relationship Type="http://schemas.openxmlformats.org/officeDocument/2006/relationships/worksheet" Target="/xl/worksheets/sheet1.xml" Id="R48b392771595475a" /><Relationship Type="http://schemas.openxmlformats.org/officeDocument/2006/relationships/worksheet" Target="/xl/worksheets/sheet2.xml" Id="Ra6b67526b779444e" /><Relationship Type="http://schemas.openxmlformats.org/officeDocument/2006/relationships/worksheet" Target="/xl/worksheets/sheet3.xml" Id="R67e5438b5f2942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2C3A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2" customHeight="1">
      <x:c r="A2" s="2"/>
      <x:c r="B2" s="3" t="str">
        <x:v>DCF valuation &amp; operating forecast</x:v>
      </x:c>
      <x:c r="C2" s="3"/>
      <x:c r="D2" s="3"/>
      <x:c r="E2" s="3"/>
      <x:c r="F2" s="3"/>
      <x:c r="G2" s="3"/>
      <x:c r="H2" s="3"/>
      <x:c r="I2" s="2"/>
    </x:row>
    <x:row r="3" ht="22" customHeight="1">
      <x:c r="A3" s="2"/>
      <x:c r="B3" s="4"/>
      <x:c r="C3" s="4"/>
      <x:c r="D3" s="4"/>
      <x:c r="E3" s="4"/>
      <x:c r="F3" s="4"/>
      <x:c r="G3" s="4"/>
      <x:c r="H3" s="4"/>
      <x:c r="I3" s="2"/>
    </x:row>
    <x:row r="4" ht="22" customHeight="1">
      <x:c r="A4" s="2"/>
      <x:c r="B4" s="2" t="str">
        <x:v>Fictional example • USD millions, except per-share value • Annual year-end cash flows</x:v>
      </x:c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5"/>
      <x:c r="D5" s="5"/>
      <x:c r="E5" s="5"/>
      <x:c r="F5" s="5"/>
      <x:c r="G5" s="5"/>
      <x:c r="H5" s="5"/>
      <x:c r="I5" s="2"/>
    </x:row>
    <x:row r="6" ht="27" customHeight="1">
      <x:c r="A6" s="2"/>
      <x:c r="B6" s="2" t="str">
        <x:v>Enterprise value</x:v>
      </x:c>
      <x:c r="C6" s="5"/>
      <x:c r="D6" s="10" t="n">
        <x:f>D39</x:f>
        <x:v>182.05087588279486</x:v>
      </x:c>
      <x:c r="E6" s="5"/>
      <x:c r="F6" s="5" t="str">
        <x:v>PV of forecast</x:v>
      </x:c>
      <x:c r="G6" s="5"/>
      <x:c r="H6" s="5" t="n">
        <x:f>D38</x:f>
        <x:v>52.91429910525237</x:v>
      </x:c>
      <x:c r="I6" s="2"/>
    </x:row>
    <x:row r="7" ht="27" customHeight="1">
      <x:c r="A7" s="2"/>
      <x:c r="B7" s="2" t="str">
        <x:v>Common equity value</x:v>
      </x:c>
      <x:c r="C7" s="5"/>
      <x:c r="D7" s="10" t="n">
        <x:f>D47</x:f>
        <x:v>172.05087588279486</x:v>
      </x:c>
      <x:c r="E7" s="5"/>
      <x:c r="F7" s="5" t="str">
        <x:v>PV of terminal</x:v>
      </x:c>
      <x:c r="G7" s="5"/>
      <x:c r="H7" s="5" t="n">
        <x:f>D37</x:f>
        <x:v>129.13657677754247</x:v>
      </x:c>
      <x:c r="I7" s="2"/>
    </x:row>
    <x:row r="8" ht="27" customHeight="1">
      <x:c r="A8" s="2"/>
      <x:c r="B8" s="2" t="str">
        <x:v>Value per diluted share</x:v>
      </x:c>
      <x:c r="C8" s="5"/>
      <x:c r="D8" s="10" t="n">
        <x:f>D49</x:f>
        <x:v>17.205087588279486</x:v>
      </x:c>
      <x:c r="E8" s="5"/>
      <x:c r="F8" s="5" t="str">
        <x:v>Terminal / EV</x:v>
      </x:c>
      <x:c r="G8" s="5"/>
      <x:c r="H8" s="11" t="n">
        <x:f>IF(AND(ISNUMBER(D37),ISNUMBER(D39),D39&lt;&gt;0),D37/D39,"n.a.")</x:f>
        <x:v>0.709343342356019</x:v>
      </x:c>
      <x:c r="I8" s="2"/>
    </x:row>
    <x:row r="9" ht="22" customHeight="1">
      <x:c r="A9" s="2"/>
      <x:c r="B9" s="8" t="str">
        <x:v>Educational information only. Not financial, investment, tax or legal advice.</x:v>
      </x:c>
      <x:c r="C9" s="9"/>
      <x:c r="D9" s="9"/>
      <x:c r="E9" s="9"/>
      <x:c r="F9" s="9"/>
      <x:c r="G9" s="9"/>
      <x:c r="H9" s="9"/>
      <x:c r="I9" s="2"/>
    </x:row>
    <x:row r="10" ht="22" customHeight="1">
      <x:c r="A10" s="2"/>
      <x:c r="B10" s="8" t="str">
        <x:v>No recommendation, offer or solicitation to buy, sell or hold any security or asset.</x:v>
      </x:c>
      <x:c r="C10" s="9"/>
      <x:c r="D10" s="9"/>
      <x:c r="E10" s="9"/>
      <x:c r="F10" s="9"/>
      <x:c r="G10" s="9"/>
      <x:c r="H10" s="9"/>
      <x:c r="I10" s="2"/>
    </x:row>
    <x:row r="11" ht="25" customHeight="1">
      <x:c r="A11" s="2"/>
      <x:c r="B11" s="14" t="str">
        <x:v>Five-year operating forecast</x:v>
      </x:c>
      <x:c r="C11" s="15"/>
      <x:c r="D11" s="15"/>
      <x:c r="E11" s="15"/>
      <x:c r="F11" s="15"/>
      <x:c r="G11" s="15"/>
      <x:c r="H11" s="15"/>
      <x:c r="I11" s="2"/>
    </x:row>
    <x:row r="12" ht="22" customHeight="1">
      <x:c r="A12" s="2"/>
      <x:c r="B12" s="2" t="str">
        <x:v>USD millions</x:v>
      </x:c>
      <x:c r="C12" s="5" t="str">
        <x:v>Year 0</x:v>
      </x:c>
      <x:c r="D12" s="16" t="n">
        <x:v>1</x:v>
      </x:c>
      <x:c r="E12" s="16" t="n">
        <x:v>2</x:v>
      </x:c>
      <x:c r="F12" s="16" t="n">
        <x:v>3</x:v>
      </x:c>
      <x:c r="G12" s="16" t="n">
        <x:v>4</x:v>
      </x:c>
      <x:c r="H12" s="16" t="n">
        <x:v>5</x:v>
      </x:c>
      <x:c r="I12" s="2"/>
    </x:row>
    <x:row r="13" ht="22" customHeight="1">
      <x:c r="A13" s="2"/>
      <x:c r="B13" s="2"/>
      <x:c r="C13" s="5"/>
      <x:c r="D13" s="5"/>
      <x:c r="E13" s="5"/>
      <x:c r="F13" s="5"/>
      <x:c r="G13" s="5"/>
      <x:c r="H13" s="5"/>
      <x:c r="I13" s="2"/>
    </x:row>
    <x:row r="14" ht="22" customHeight="1">
      <x:c r="A14" s="2"/>
      <x:c r="B14" s="2" t="str">
        <x:v>Revenue</x:v>
      </x:c>
      <x:c r="C14" s="5" t="n">
        <x:f>IF(AND(ISNUMBER(Inputs!C17),Inputs!C17&gt;=0),Inputs!C17,"Input needed")</x:f>
        <x:v>100</x:v>
      </x:c>
      <x:c r="D14" s="17" t="n">
        <x:f>IF(AND(ISNUMBER(C14),ISNUMBER('Inputs'!D17),'Inputs'!D17&gt;=-1),C14*(1+'Inputs'!D17),"Input needed")</x:f>
        <x:v>110.00000000000001</x:v>
      </x:c>
      <x:c r="E14" s="17" t="n">
        <x:f>IF(AND(ISNUMBER(D14),ISNUMBER('Inputs'!E17),'Inputs'!E17&gt;=-1),D14*(1+'Inputs'!E17),"Input needed")</x:f>
        <x:v>118.80000000000003</x:v>
      </x:c>
      <x:c r="F14" s="17" t="n">
        <x:f>IF(AND(ISNUMBER(E14),ISNUMBER('Inputs'!F17),'Inputs'!F17&gt;=-1),E14*(1+'Inputs'!F17),"Input needed")</x:f>
        <x:v>125.92800000000004</x:v>
      </x:c>
      <x:c r="G14" s="17" t="n">
        <x:f>IF(AND(ISNUMBER(F14),ISNUMBER('Inputs'!G17),'Inputs'!G17&gt;=-1),F14*(1+'Inputs'!G17),"Input needed")</x:f>
        <x:v>130.96512000000004</x:v>
      </x:c>
      <x:c r="H14" s="17" t="n">
        <x:f>IF(AND(ISNUMBER(G14),ISNUMBER('Inputs'!H17),'Inputs'!H17&gt;=-1),G14*(1+'Inputs'!H17),"Input needed")</x:f>
        <x:v>134.89407360000004</x:v>
      </x:c>
      <x:c r="I14" s="2"/>
    </x:row>
    <x:row r="15" ht="22" customHeight="1">
      <x:c r="A15" s="2"/>
      <x:c r="B15" s="2" t="str">
        <x:v>EBITDA</x:v>
      </x:c>
      <x:c r="C15" s="5"/>
      <x:c r="D15" s="17" t="n">
        <x:f>IF(AND(ISNUMBER(D14),ISNUMBER('Inputs'!D18)),D14*'Inputs'!D18,"Input needed")</x:f>
        <x:v>22.000000000000004</x:v>
      </x:c>
      <x:c r="E15" s="17" t="n">
        <x:f>IF(AND(ISNUMBER(E14),ISNUMBER('Inputs'!E18)),E14*'Inputs'!E18,"Input needed")</x:f>
        <x:v>24.948000000000004</x:v>
      </x:c>
      <x:c r="F15" s="17" t="n">
        <x:f>IF(AND(ISNUMBER(F14),ISNUMBER('Inputs'!F18)),F14*'Inputs'!F18,"Input needed")</x:f>
        <x:v>27.70416000000001</x:v>
      </x:c>
      <x:c r="G15" s="17" t="n">
        <x:f>IF(AND(ISNUMBER(G14),ISNUMBER('Inputs'!G18)),G14*'Inputs'!G18,"Input needed")</x:f>
        <x:v>28.81232640000001</x:v>
      </x:c>
      <x:c r="H15" s="17" t="n">
        <x:f>IF(AND(ISNUMBER(H14),ISNUMBER('Inputs'!H18)),H14*'Inputs'!H18,"Input needed")</x:f>
        <x:v>29.67669619200001</x:v>
      </x:c>
      <x:c r="I15" s="2"/>
    </x:row>
    <x:row r="16" ht="22" customHeight="1">
      <x:c r="A16" s="2"/>
      <x:c r="B16" s="2" t="str">
        <x:v>Depreciation &amp; amortization</x:v>
      </x:c>
      <x:c r="C16" s="5"/>
      <x:c r="D16" s="17" t="n">
        <x:f>IF(AND(ISNUMBER(D14),ISNUMBER('Inputs'!D19),'Inputs'!D19&gt;=0),D14*'Inputs'!D19,"Input needed")</x:f>
        <x:v>3.3000000000000003</x:v>
      </x:c>
      <x:c r="E16" s="17" t="n">
        <x:f>IF(AND(ISNUMBER(E14),ISNUMBER('Inputs'!E19),'Inputs'!E19&gt;=0),E14*'Inputs'!E19,"Input needed")</x:f>
        <x:v>3.5640000000000005</x:v>
      </x:c>
      <x:c r="F16" s="17" t="n">
        <x:f>IF(AND(ISNUMBER(F14),ISNUMBER('Inputs'!F19),'Inputs'!F19&gt;=0),F14*'Inputs'!F19,"Input needed")</x:f>
        <x:v>3.777840000000001</x:v>
      </x:c>
      <x:c r="G16" s="17" t="n">
        <x:f>IF(AND(ISNUMBER(G14),ISNUMBER('Inputs'!G19),'Inputs'!G19&gt;=0),G14*'Inputs'!G19,"Input needed")</x:f>
        <x:v>3.928953600000001</x:v>
      </x:c>
      <x:c r="H16" s="17" t="n">
        <x:f>IF(AND(ISNUMBER(H14),ISNUMBER('Inputs'!H19),'Inputs'!H19&gt;=0),H14*'Inputs'!H19,"Input needed")</x:f>
        <x:v>4.046822208000001</x:v>
      </x:c>
      <x:c r="I16" s="2"/>
    </x:row>
    <x:row r="17" ht="22" customHeight="1">
      <x:c r="A17" s="2"/>
      <x:c r="B17" s="21" t="str">
        <x:v>EBIT</x:v>
      </x:c>
      <x:c r="C17" s="22"/>
      <x:c r="D17" s="22" t="n">
        <x:f>IF(COUNT(D15:D16)=2,D15-D16,"Input needed")</x:f>
        <x:v>18.700000000000003</x:v>
      </x:c>
      <x:c r="E17" s="22" t="n">
        <x:f>IF(COUNT(E15:E16)=2,E15-E16,"Input needed")</x:f>
        <x:v>21.384000000000004</x:v>
      </x:c>
      <x:c r="F17" s="22" t="n">
        <x:f>IF(COUNT(F15:F16)=2,F15-F16,"Input needed")</x:f>
        <x:v>23.926320000000008</x:v>
      </x:c>
      <x:c r="G17" s="22" t="n">
        <x:f>IF(COUNT(G15:G16)=2,G15-G16,"Input needed")</x:f>
        <x:v>24.88337280000001</x:v>
      </x:c>
      <x:c r="H17" s="22" t="n">
        <x:f>IF(COUNT(H15:H16)=2,H15-H16,"Input needed")</x:f>
        <x:v>25.629873984000007</x:v>
      </x:c>
      <x:c r="I17" s="2"/>
    </x:row>
    <x:row r="18" ht="22" customHeight="1">
      <x:c r="A18" s="2"/>
      <x:c r="B18" s="2" t="str">
        <x:v>Operating cash taxes</x:v>
      </x:c>
      <x:c r="C18" s="5"/>
      <x:c r="D18" s="17" t="n">
        <x:f>IF(AND(ISNUMBER(D17),ISNUMBER('Inputs'!D20),'Inputs'!D20&gt;=0,'Inputs'!D20&lt;=1),MAX(D17,0)*'Inputs'!D20,"Input needed")</x:f>
        <x:v>4.675000000000001</x:v>
      </x:c>
      <x:c r="E18" s="17" t="n">
        <x:f>IF(AND(ISNUMBER(E17),ISNUMBER('Inputs'!E20),'Inputs'!E20&gt;=0,'Inputs'!E20&lt;=1),MAX(E17,0)*'Inputs'!E20,"Input needed")</x:f>
        <x:v>5.346000000000001</x:v>
      </x:c>
      <x:c r="F18" s="17" t="n">
        <x:f>IF(AND(ISNUMBER(F17),ISNUMBER('Inputs'!F20),'Inputs'!F20&gt;=0,'Inputs'!F20&lt;=1),MAX(F17,0)*'Inputs'!F20,"Input needed")</x:f>
        <x:v>5.981580000000002</x:v>
      </x:c>
      <x:c r="G18" s="17" t="n">
        <x:f>IF(AND(ISNUMBER(G17),ISNUMBER('Inputs'!G20),'Inputs'!G20&gt;=0,'Inputs'!G20&lt;=1),MAX(G17,0)*'Inputs'!G20,"Input needed")</x:f>
        <x:v>6.220843200000003</x:v>
      </x:c>
      <x:c r="H18" s="17" t="n">
        <x:f>IF(AND(ISNUMBER(H17),ISNUMBER('Inputs'!H20),'Inputs'!H20&gt;=0,'Inputs'!H20&lt;=1),MAX(H17,0)*'Inputs'!H20,"Input needed")</x:f>
        <x:v>6.407468496000002</x:v>
      </x:c>
      <x:c r="I18" s="2"/>
    </x:row>
    <x:row r="19" ht="22" customHeight="1">
      <x:c r="A19" s="2"/>
      <x:c r="B19" s="21" t="str">
        <x:v>NOPAT</x:v>
      </x:c>
      <x:c r="C19" s="22"/>
      <x:c r="D19" s="22" t="n">
        <x:f>IF(COUNT(D17:D18)=2,D17-D18,"Input needed")</x:f>
        <x:v>14.025000000000002</x:v>
      </x:c>
      <x:c r="E19" s="22" t="n">
        <x:f>IF(COUNT(E17:E18)=2,E17-E18,"Input needed")</x:f>
        <x:v>16.038000000000004</x:v>
      </x:c>
      <x:c r="F19" s="22" t="n">
        <x:f>IF(COUNT(F17:F18)=2,F17-F18,"Input needed")</x:f>
        <x:v>17.944740000000007</x:v>
      </x:c>
      <x:c r="G19" s="22" t="n">
        <x:f>IF(COUNT(G17:G18)=2,G17-G18,"Input needed")</x:f>
        <x:v>18.662529600000006</x:v>
      </x:c>
      <x:c r="H19" s="22" t="n">
        <x:f>IF(COUNT(H17:H18)=2,H17-H18,"Input needed")</x:f>
        <x:v>19.222405488000007</x:v>
      </x:c>
      <x:c r="I19" s="2"/>
    </x:row>
    <x:row r="20" ht="22" customHeight="1">
      <x:c r="A20" s="2"/>
      <x:c r="B20" s="2" t="str">
        <x:v>Add back D&amp;A</x:v>
      </x:c>
      <x:c r="C20" s="5"/>
      <x:c r="D20" s="5" t="n">
        <x:f>D16</x:f>
        <x:v>3.3000000000000003</x:v>
      </x:c>
      <x:c r="E20" s="5" t="n">
        <x:f>E16</x:f>
        <x:v>3.5640000000000005</x:v>
      </x:c>
      <x:c r="F20" s="5" t="n">
        <x:f>F16</x:f>
        <x:v>3.777840000000001</x:v>
      </x:c>
      <x:c r="G20" s="5" t="n">
        <x:f>G16</x:f>
        <x:v>3.928953600000001</x:v>
      </x:c>
      <x:c r="H20" s="5" t="n">
        <x:f>H16</x:f>
        <x:v>4.046822208000001</x:v>
      </x:c>
      <x:c r="I20" s="2"/>
    </x:row>
    <x:row r="21" ht="22" customHeight="1">
      <x:c r="A21" s="2"/>
      <x:c r="B21" s="2" t="str">
        <x:v>Capital expenditure</x:v>
      </x:c>
      <x:c r="C21" s="5"/>
      <x:c r="D21" s="17" t="n">
        <x:f>IF(AND(ISNUMBER(D14),ISNUMBER('Inputs'!D21),'Inputs'!D21&gt;=0),D14*'Inputs'!D21,"Input needed")</x:f>
        <x:v>5.500000000000001</x:v>
      </x:c>
      <x:c r="E21" s="17" t="n">
        <x:f>IF(AND(ISNUMBER(E14),ISNUMBER('Inputs'!E21),'Inputs'!E21&gt;=0),E14*'Inputs'!E21,"Input needed")</x:f>
        <x:v>5.940000000000001</x:v>
      </x:c>
      <x:c r="F21" s="17" t="n">
        <x:f>IF(AND(ISNUMBER(F14),ISNUMBER('Inputs'!F21),'Inputs'!F21&gt;=0),F14*'Inputs'!F21,"Input needed")</x:f>
        <x:v>5.666760000000002</x:v>
      </x:c>
      <x:c r="G21" s="17" t="n">
        <x:f>IF(AND(ISNUMBER(G14),ISNUMBER('Inputs'!G21),'Inputs'!G21&gt;=0),G14*'Inputs'!G21,"Input needed")</x:f>
        <x:v>5.238604800000002</x:v>
      </x:c>
      <x:c r="H21" s="17" t="n">
        <x:f>IF(AND(ISNUMBER(H14),ISNUMBER('Inputs'!H21),'Inputs'!H21&gt;=0),H14*'Inputs'!H21,"Input needed")</x:f>
        <x:v>5.395762944000002</x:v>
      </x:c>
      <x:c r="I21" s="2"/>
    </x:row>
    <x:row r="22" ht="22" customHeight="1">
      <x:c r="A22" s="2"/>
      <x:c r="B22" s="2" t="str">
        <x:v>Operating working capital</x:v>
      </x:c>
      <x:c r="C22" s="5" t="n">
        <x:f>IF(ISNUMBER(Inputs!C22),Inputs!C22,"Input needed")</x:f>
        <x:v>15</x:v>
      </x:c>
      <x:c r="D22" s="17" t="n">
        <x:f>IF(AND(ISNUMBER(D14),ISNUMBER('Inputs'!D22)),D14*'Inputs'!D22,"Input needed")</x:f>
        <x:v>16.5</x:v>
      </x:c>
      <x:c r="E22" s="17" t="n">
        <x:f>IF(AND(ISNUMBER(E14),ISNUMBER('Inputs'!E22)),E14*'Inputs'!E22,"Input needed")</x:f>
        <x:v>17.820000000000004</x:v>
      </x:c>
      <x:c r="F22" s="17" t="n">
        <x:f>IF(AND(ISNUMBER(F14),ISNUMBER('Inputs'!F22)),F14*'Inputs'!F22,"Input needed")</x:f>
        <x:v>18.889200000000006</x:v>
      </x:c>
      <x:c r="G22" s="17" t="n">
        <x:f>IF(AND(ISNUMBER(G14),ISNUMBER('Inputs'!G22)),G14*'Inputs'!G22,"Input needed")</x:f>
        <x:v>19.644768000000006</x:v>
      </x:c>
      <x:c r="H22" s="17" t="n">
        <x:f>IF(AND(ISNUMBER(H14),ISNUMBER('Inputs'!H22)),H14*'Inputs'!H22,"Input needed")</x:f>
        <x:v>20.234111040000005</x:v>
      </x:c>
      <x:c r="I22" s="2"/>
    </x:row>
    <x:row r="23" ht="22" customHeight="1">
      <x:c r="A23" s="2"/>
      <x:c r="B23" s="2" t="str">
        <x:v>Increase in working capital</x:v>
      </x:c>
      <x:c r="C23" s="5"/>
      <x:c r="D23" s="5" t="n">
        <x:f>IF(COUNT(C22:D22)=2,D22-C22,"Input needed")</x:f>
        <x:v>1.5</x:v>
      </x:c>
      <x:c r="E23" s="5" t="n">
        <x:f>IF(COUNT(D22:E22)=2,E22-D22,"Input needed")</x:f>
        <x:v>1.3200000000000038</x:v>
      </x:c>
      <x:c r="F23" s="5" t="n">
        <x:f>IF(COUNT(E22:F22)=2,F22-E22,"Input needed")</x:f>
        <x:v>1.0692000000000021</x:v>
      </x:c>
      <x:c r="G23" s="5" t="n">
        <x:f>IF(COUNT(F22:G22)=2,G22-F22,"Input needed")</x:f>
        <x:v>0.7555680000000002</x:v>
      </x:c>
      <x:c r="H23" s="5" t="n">
        <x:f>IF(COUNT(G22:H22)=2,H22-G22,"Input needed")</x:f>
        <x:v>0.5893430399999993</x:v>
      </x:c>
      <x:c r="I23" s="2"/>
    </x:row>
    <x:row r="24" ht="22" customHeight="1">
      <x:c r="A24" s="2"/>
      <x:c r="B24" s="21" t="str">
        <x:v>Free cash flow to firm</x:v>
      </x:c>
      <x:c r="C24" s="22"/>
      <x:c r="D24" s="22" t="n">
        <x:f>IF(COUNT(D19:D21,D23)=4,D19+D20-D21-D23,"Input needed")</x:f>
        <x:v>10.325000000000003</x:v>
      </x:c>
      <x:c r="E24" s="22" t="n">
        <x:f>IF(COUNT(E19:E21,E23)=4,E19+E20-E21-E23,"Input needed")</x:f>
        <x:v>12.341999999999999</x:v>
      </x:c>
      <x:c r="F24" s="22" t="n">
        <x:f>IF(COUNT(F19:F21,F23)=4,F19+F20-F21-F23,"Input needed")</x:f>
        <x:v>14.986620000000002</x:v>
      </x:c>
      <x:c r="G24" s="22" t="n">
        <x:f>IF(COUNT(G19:G21,G23)=4,G19+G20-G21-G23,"Input needed")</x:f>
        <x:v>16.597310400000005</x:v>
      </x:c>
      <x:c r="H24" s="22" t="n">
        <x:f>IF(COUNT(H19:H21,H23)=4,H19+H20-H21-H23,"Input needed")</x:f>
        <x:v>17.284121712000008</x:v>
      </x:c>
      <x:c r="I24" s="2"/>
    </x:row>
    <x:row r="25" ht="22" customHeight="1">
      <x:c r="A25" s="2"/>
      <x:c r="B25" s="2" t="str">
        <x:v>Discount factor</x:v>
      </x:c>
      <x:c r="C25" s="5"/>
      <x:c r="D25" s="18" t="n">
        <x:f>IF(AND(ISNUMBER('Inputs'!$D$8),'Inputs'!$D$8&gt;-1),1/(1+'Inputs'!$D$8)^D$12,"Input needed")</x:f>
        <x:v>0.9090909090909091</x:v>
      </x:c>
      <x:c r="E25" s="18" t="n">
        <x:f>IF(AND(ISNUMBER('Inputs'!$D$8),'Inputs'!$D$8&gt;-1),1/(1+'Inputs'!$D$8)^E$12,"Input needed")</x:f>
        <x:v>0.8264462809917354</x:v>
      </x:c>
      <x:c r="F25" s="18" t="n">
        <x:f>IF(AND(ISNUMBER('Inputs'!$D$8),'Inputs'!$D$8&gt;-1),1/(1+'Inputs'!$D$8)^F$12,"Input needed")</x:f>
        <x:v>0.7513148009015775</x:v>
      </x:c>
      <x:c r="G25" s="18" t="n">
        <x:f>IF(AND(ISNUMBER('Inputs'!$D$8),'Inputs'!$D$8&gt;-1),1/(1+'Inputs'!$D$8)^G$12,"Input needed")</x:f>
        <x:v>0.6830134553650705</x:v>
      </x:c>
      <x:c r="H25" s="18" t="n">
        <x:f>IF(AND(ISNUMBER('Inputs'!$D$8),'Inputs'!$D$8&gt;-1),1/(1+'Inputs'!$D$8)^H$12,"Input needed")</x:f>
        <x:v>0.6209213230591549</x:v>
      </x:c>
      <x:c r="I25" s="2"/>
    </x:row>
    <x:row r="26" ht="22" customHeight="1">
      <x:c r="A26" s="2"/>
      <x:c r="B26" s="21" t="str">
        <x:v>Present value of FCFF</x:v>
      </x:c>
      <x:c r="C26" s="22"/>
      <x:c r="D26" s="22" t="n">
        <x:f>IF(COUNT(D24:D25)=2,D24*D25,"Input needed")</x:f>
        <x:v>9.386363636363638</x:v>
      </x:c>
      <x:c r="E26" s="22" t="n">
        <x:f>IF(COUNT(E24:E25)=2,E24*E25,"Input needed")</x:f>
        <x:v>10.199999999999998</x:v>
      </x:c>
      <x:c r="F26" s="22" t="n">
        <x:f>IF(COUNT(F24:F25)=2,F24*F25,"Input needed")</x:f>
        <x:v>11.259669421487601</x:v>
      </x:c>
      <x:c r="G26" s="22" t="n">
        <x:f>IF(COUNT(G24:G25)=2,G24*G25,"Input needed")</x:f>
        <x:v>11.336186326070624</x:v>
      </x:c>
      <x:c r="H26" s="22" t="n">
        <x:f>IF(COUNT(H24:H25)=2,H24*H25,"Input needed")</x:f>
        <x:v>10.73207972133051</x:v>
      </x:c>
      <x:c r="I26" s="2"/>
    </x:row>
    <x:row r="27" ht="22" customHeight="1">
      <x:c r="A27" s="2"/>
      <x:c r="B27" s="2"/>
      <x:c r="C27" s="5"/>
      <x:c r="D27" s="5"/>
      <x:c r="E27" s="5"/>
      <x:c r="F27" s="5"/>
      <x:c r="G27" s="5"/>
      <x:c r="H27" s="5"/>
      <x:c r="I27" s="2"/>
    </x:row>
    <x:row r="28" ht="22" customHeight="1">
      <x:c r="A28" s="2"/>
      <x:c r="B28" s="2"/>
      <x:c r="C28" s="5"/>
      <x:c r="D28" s="5"/>
      <x:c r="E28" s="5"/>
      <x:c r="F28" s="5"/>
      <x:c r="G28" s="5"/>
      <x:c r="H28" s="5"/>
      <x:c r="I28" s="2"/>
    </x:row>
    <x:row r="29" ht="22" customHeight="1">
      <x:c r="A29" s="2"/>
      <x:c r="B29" s="2"/>
      <x:c r="C29" s="5"/>
      <x:c r="D29" s="5"/>
      <x:c r="E29" s="5"/>
      <x:c r="F29" s="5"/>
      <x:c r="G29" s="5"/>
      <x:c r="H29" s="5"/>
      <x:c r="I29" s="2"/>
    </x:row>
    <x:row r="30" ht="25" customHeight="1">
      <x:c r="A30" s="2"/>
      <x:c r="B30" s="14" t="str">
        <x:v>Terminal operating value</x:v>
      </x:c>
      <x:c r="C30" s="15"/>
      <x:c r="D30" s="15"/>
      <x:c r="E30" s="15"/>
      <x:c r="F30" s="15"/>
      <x:c r="G30" s="15"/>
      <x:c r="H30" s="15"/>
      <x:c r="I30" s="2"/>
    </x:row>
    <x:row r="31" ht="22" customHeight="1">
      <x:c r="A31" s="2"/>
      <x:c r="B31" s="2"/>
      <x:c r="C31" s="5"/>
      <x:c r="D31" s="5"/>
      <x:c r="E31" s="5"/>
      <x:c r="F31" s="5"/>
      <x:c r="G31" s="5"/>
      <x:c r="H31" s="5"/>
      <x:c r="I31" s="2"/>
    </x:row>
    <x:row r="32" ht="22" customHeight="1">
      <x:c r="A32" s="2"/>
      <x:c r="B32" s="2" t="str">
        <x:v>Year 6 EBIT</x:v>
      </x:c>
      <x:c r="C32" s="5"/>
      <x:c r="D32" s="5" t="n">
        <x:f>IF(AND(ISNUMBER(H17),ISNUMBER(Inputs!H8),H17&gt;0),H17*(1+Inputs!H8),"Review terminal earnings")</x:f>
        <x:v>26.270620833600006</x:v>
      </x:c>
      <x:c r="E32" s="5"/>
      <x:c r="F32" s="5" t="str">
        <x:v>Stable-state reinvestment</x:v>
      </x:c>
      <x:c r="G32" s="5"/>
      <x:c r="H32" s="5"/>
      <x:c r="I32" s="2"/>
    </x:row>
    <x:row r="33" ht="22" customHeight="1">
      <x:c r="A33" s="2"/>
      <x:c r="B33" s="2" t="str">
        <x:v>Year 6 NOPAT</x:v>
      </x:c>
      <x:c r="C33" s="5"/>
      <x:c r="D33" s="5" t="n">
        <x:f>IF(AND(ISNUMBER(D32),ISNUMBER(Inputs!H9),Inputs!H9&gt;=0,Inputs!H9&lt;=1),D32-MAX(D32,0)*Inputs!H9,"Review terminal inputs")</x:f>
        <x:v>19.702965625200004</x:v>
      </x:c>
      <x:c r="E33" s="5"/>
      <x:c r="F33" s="5" t="str">
        <x:v>g / return on capital</x:v>
      </x:c>
      <x:c r="G33" s="5"/>
      <x:c r="H33" s="5"/>
      <x:c r="I33" s="2"/>
    </x:row>
    <x:row r="34" ht="22" customHeight="1">
      <x:c r="A34" s="2"/>
      <x:c r="B34" s="2" t="str">
        <x:v>Terminal reinvestment rate</x:v>
      </x:c>
      <x:c r="C34" s="5"/>
      <x:c r="D34" s="11" t="n">
        <x:f>IF(AND(ISNUMBER(Inputs!H8),ISNUMBER(Inputs!D9),Inputs!D9&gt;0),Inputs!H8/Inputs!D9,"Input needed")</x:f>
        <x:v>0.20833333333333334</x:v>
      </x:c>
      <x:c r="E34" s="5"/>
      <x:c r="F34" s="5"/>
      <x:c r="G34" s="5"/>
      <x:c r="H34" s="5"/>
      <x:c r="I34" s="2"/>
    </x:row>
    <x:row r="35" ht="22" customHeight="1">
      <x:c r="A35" s="2"/>
      <x:c r="B35" s="2" t="str">
        <x:v>Year 6 normalized FCFF</x:v>
      </x:c>
      <x:c r="C35" s="5"/>
      <x:c r="D35" s="5" t="n">
        <x:f>IF(COUNT(D33:D34)=2,D33*(1-D34),"Input needed")</x:f>
        <x:v>15.598181119950002</x:v>
      </x:c>
      <x:c r="E35" s="5"/>
      <x:c r="F35" s="5" t="str">
        <x:v>FCFF = NOPAT × (1 − g / ROIC)</x:v>
      </x:c>
      <x:c r="G35" s="5"/>
      <x:c r="H35" s="5"/>
      <x:c r="I35" s="2"/>
    </x:row>
    <x:row r="36" ht="22" customHeight="1">
      <x:c r="A36" s="2"/>
      <x:c r="B36" s="2" t="str">
        <x:v>Terminal enterprise value</x:v>
      </x:c>
      <x:c r="C36" s="5"/>
      <x:c r="D36" s="5" t="n">
        <x:f>IF(AND(ISNUMBER(D35),ISNUMBER(Inputs!D8),ISNUMBER(Inputs!H8),Inputs!D8&gt;Inputs!H8,Inputs!H8&gt;=0,ISNUMBER(D34),D34&lt;=1),D35/(Inputs!D8-Inputs!H8),"Review terminal inputs")</x:f>
        <x:v>207.975748266</x:v>
      </x:c>
      <x:c r="E36" s="5"/>
      <x:c r="F36" s="5"/>
      <x:c r="G36" s="5"/>
      <x:c r="H36" s="5"/>
      <x:c r="I36" s="2"/>
    </x:row>
    <x:row r="37" ht="22" customHeight="1">
      <x:c r="A37" s="2"/>
      <x:c r="B37" s="2" t="str">
        <x:v>PV of terminal value</x:v>
      </x:c>
      <x:c r="C37" s="5"/>
      <x:c r="D37" s="5" t="n">
        <x:f>IF(AND(ISNUMBER(D36),ISNUMBER(H25)),D36*H25,"Review terminal inputs")</x:f>
        <x:v>129.13657677754247</x:v>
      </x:c>
      <x:c r="E37" s="5"/>
      <x:c r="F37" s="5"/>
      <x:c r="G37" s="5"/>
      <x:c r="H37" s="5"/>
      <x:c r="I37" s="2"/>
    </x:row>
    <x:row r="38" ht="22" customHeight="1">
      <x:c r="A38" s="2"/>
      <x:c r="B38" s="2" t="str">
        <x:v>PV of forecast cash flows</x:v>
      </x:c>
      <x:c r="C38" s="5"/>
      <x:c r="D38" s="5" t="n">
        <x:f>IF(COUNT(D26:H26)=5,SUM(D26:H26),"Input needed")</x:f>
        <x:v>52.91429910525237</x:v>
      </x:c>
      <x:c r="E38" s="5"/>
      <x:c r="F38" s="5"/>
      <x:c r="G38" s="5"/>
      <x:c r="H38" s="5"/>
      <x:c r="I38" s="2"/>
    </x:row>
    <x:row r="39" ht="22" customHeight="1">
      <x:c r="A39" s="2"/>
      <x:c r="B39" s="2" t="str">
        <x:v>Enterprise value</x:v>
      </x:c>
      <x:c r="C39" s="5"/>
      <x:c r="D39" s="5" t="n">
        <x:f>IF(COUNT(D37:D38)=2,SUM(D37:D38),"Review inputs")</x:f>
        <x:v>182.05087588279486</x:v>
      </x:c>
      <x:c r="E39" s="5"/>
      <x:c r="F39" s="5"/>
      <x:c r="G39" s="5"/>
      <x:c r="H39" s="5"/>
      <x:c r="I39" s="2"/>
    </x:row>
    <x:row r="40" ht="22" customHeight="1">
      <x:c r="A40" s="2"/>
      <x:c r="B40" s="2"/>
      <x:c r="C40" s="5"/>
      <x:c r="D40" s="5"/>
      <x:c r="E40" s="5"/>
      <x:c r="F40" s="5"/>
      <x:c r="G40" s="5"/>
      <x:c r="H40" s="5"/>
      <x:c r="I40" s="2"/>
    </x:row>
    <x:row r="41" ht="25" customHeight="1">
      <x:c r="A41" s="2"/>
      <x:c r="B41" s="14" t="str">
        <x:v>Enterprise to common equity</x:v>
      </x:c>
      <x:c r="C41" s="15"/>
      <x:c r="D41" s="15"/>
      <x:c r="E41" s="15"/>
      <x:c r="F41" s="15"/>
      <x:c r="G41" s="15"/>
      <x:c r="H41" s="15"/>
      <x:c r="I41" s="2"/>
    </x:row>
    <x:row r="42" ht="22" customHeight="1">
      <x:c r="A42" s="2"/>
      <x:c r="B42" s="2" t="str">
        <x:v>Enterprise value</x:v>
      </x:c>
      <x:c r="C42" s="5"/>
      <x:c r="D42" s="5" t="n">
        <x:f>D39</x:f>
        <x:v>182.05087588279486</x:v>
      </x:c>
      <x:c r="E42" s="5"/>
      <x:c r="F42" s="5"/>
      <x:c r="G42" s="5"/>
      <x:c r="H42" s="5"/>
      <x:c r="I42" s="2"/>
    </x:row>
    <x:row r="43" ht="22" customHeight="1">
      <x:c r="A43" s="2"/>
      <x:c r="B43" s="2" t="str">
        <x:v>Add excess cash</x:v>
      </x:c>
      <x:c r="C43" s="5"/>
      <x:c r="D43" s="5" t="n">
        <x:f>IF(AND(ISNUMBER(Inputs!D10),Inputs!D10&gt;=0),Inputs!D10,"Use positive amount")</x:f>
        <x:v>10</x:v>
      </x:c>
      <x:c r="E43" s="5"/>
      <x:c r="F43" s="5"/>
      <x:c r="G43" s="5"/>
      <x:c r="H43" s="5"/>
      <x:c r="I43" s="2"/>
    </x:row>
    <x:row r="44" ht="22" customHeight="1">
      <x:c r="A44" s="2"/>
      <x:c r="B44" s="2" t="str">
        <x:v>Add non-operating assets</x:v>
      </x:c>
      <x:c r="C44" s="5"/>
      <x:c r="D44" s="5" t="n">
        <x:f>IF(AND(ISNUMBER(Inputs!D11),Inputs!D11&gt;=0),Inputs!D11,"Use positive amount")</x:f>
        <x:v>0</x:v>
      </x:c>
      <x:c r="E44" s="5"/>
      <x:c r="F44" s="5"/>
      <x:c r="G44" s="5"/>
      <x:c r="H44" s="5"/>
      <x:c r="I44" s="2"/>
    </x:row>
    <x:row r="45" ht="22" customHeight="1">
      <x:c r="A45" s="2"/>
      <x:c r="B45" s="2" t="str">
        <x:v>Less debt &amp; finance claims</x:v>
      </x:c>
      <x:c r="C45" s="5"/>
      <x:c r="D45" s="5" t="n">
        <x:f>IF(AND(ISNUMBER(Inputs!D12),Inputs!D12&gt;=0),Inputs!D12,"Use positive amount")</x:f>
        <x:v>20</x:v>
      </x:c>
      <x:c r="E45" s="5"/>
      <x:c r="F45" s="5"/>
      <x:c r="G45" s="5"/>
      <x:c r="H45" s="5"/>
      <x:c r="I45" s="2"/>
    </x:row>
    <x:row r="46" ht="22" customHeight="1">
      <x:c r="A46" s="2"/>
      <x:c r="B46" s="2" t="str">
        <x:v>Less other senior claims</x:v>
      </x:c>
      <x:c r="C46" s="5"/>
      <x:c r="D46" s="5" t="n">
        <x:f>IF(AND(ISNUMBER(Inputs!D13),Inputs!D13&gt;=0),Inputs!D13,"Use positive amount")</x:f>
        <x:v>0</x:v>
      </x:c>
      <x:c r="E46" s="5"/>
      <x:c r="F46" s="5"/>
      <x:c r="G46" s="5"/>
      <x:c r="H46" s="5"/>
      <x:c r="I46" s="2"/>
    </x:row>
    <x:row r="47" ht="22" customHeight="1">
      <x:c r="A47" s="2"/>
      <x:c r="B47" s="2" t="str">
        <x:v>Common equity value</x:v>
      </x:c>
      <x:c r="C47" s="5"/>
      <x:c r="D47" s="5" t="n">
        <x:f>IF(COUNT(D42:D46)=5,SUM(D42:D44)-SUM(D45:D46),"Input needed")</x:f>
        <x:v>172.05087588279486</x:v>
      </x:c>
      <x:c r="E47" s="5"/>
      <x:c r="F47" s="5"/>
      <x:c r="G47" s="5"/>
      <x:c r="H47" s="5"/>
      <x:c r="I47" s="2"/>
    </x:row>
    <x:row r="48" ht="22" customHeight="1">
      <x:c r="A48" s="2"/>
      <x:c r="B48" s="2" t="str">
        <x:v>Diluted shares (millions)</x:v>
      </x:c>
      <x:c r="C48" s="5"/>
      <x:c r="D48" s="5" t="n">
        <x:f>IF(ISNUMBER(Inputs!H10),Inputs!H10,"Input needed")</x:f>
        <x:v>10</x:v>
      </x:c>
      <x:c r="E48" s="5"/>
      <x:c r="F48" s="5"/>
      <x:c r="G48" s="5"/>
      <x:c r="H48" s="5"/>
      <x:c r="I48" s="2"/>
    </x:row>
    <x:row r="49" ht="22" customHeight="1">
      <x:c r="A49" s="2"/>
      <x:c r="B49" s="2" t="str">
        <x:v>Value per diluted share</x:v>
      </x:c>
      <x:c r="C49" s="5"/>
      <x:c r="D49" s="5" t="n">
        <x:f>IF(AND(ISNUMBER(D47),ISNUMBER(D48),D48&gt;0),IF(D47&gt;=0,D47/D48,"Distress review"),"Input needed")</x:f>
        <x:v>17.205087588279486</x:v>
      </x:c>
      <x:c r="E49" s="5"/>
      <x:c r="F49" s="5"/>
      <x:c r="G49" s="5"/>
      <x:c r="H49" s="5"/>
      <x:c r="I49" s="2"/>
    </x:row>
    <x:row r="50" ht="22" customHeight="1">
      <x:c r="A50" s="2"/>
      <x:c r="B50" s="2"/>
      <x:c r="C50" s="5"/>
      <x:c r="D50" s="5"/>
      <x:c r="E50" s="5"/>
      <x:c r="F50" s="5"/>
      <x:c r="G50" s="5"/>
      <x:c r="H50" s="5"/>
      <x:c r="I50" s="2"/>
    </x:row>
    <x:row r="51" ht="22" customHeight="1">
      <x:c r="A51" s="2"/>
      <x:c r="B51" s="2"/>
      <x:c r="C51" s="5"/>
      <x:c r="D51" s="5"/>
      <x:c r="E51" s="5"/>
      <x:c r="F51" s="5"/>
      <x:c r="G51" s="5"/>
      <x:c r="H51" s="5"/>
      <x:c r="I51" s="2"/>
    </x:row>
    <x:row r="52" ht="25" customHeight="1">
      <x:c r="A52" s="2"/>
      <x:c r="B52" s="14" t="str">
        <x:v>Enterprise value sensitivity</x:v>
      </x:c>
      <x:c r="C52" s="15"/>
      <x:c r="D52" s="15"/>
      <x:c r="E52" s="15"/>
      <x:c r="F52" s="15"/>
      <x:c r="G52" s="15"/>
      <x:c r="H52" s="15"/>
      <x:c r="I52" s="2"/>
    </x:row>
    <x:row r="53" ht="22" customHeight="1">
      <x:c r="A53" s="2"/>
      <x:c r="B53" s="2" t="str">
        <x:v>WACC ↓ / terminal growth →</x:v>
      </x:c>
      <x:c r="C53" s="5"/>
      <x:c r="D53" s="5"/>
      <x:c r="E53" s="5"/>
      <x:c r="F53" s="5"/>
      <x:c r="G53" s="5"/>
      <x:c r="H53" s="5"/>
      <x:c r="I53" s="2"/>
    </x:row>
    <x:row r="54" ht="22" customHeight="1">
      <x:c r="A54" s="2"/>
      <x:c r="B54" s="2"/>
      <x:c r="C54" s="5"/>
      <x:c r="D54" s="11" t="n">
        <x:f>Inputs!$H$8+(0-2)*Inputs!$H$11</x:f>
        <x:v>0.015000000000000001</x:v>
      </x:c>
      <x:c r="E54" s="11" t="n">
        <x:f>Inputs!$H$8+(1-2)*Inputs!$H$11</x:f>
        <x:v>0.02</x:v>
      </x:c>
      <x:c r="F54" s="11" t="n">
        <x:f>Inputs!$H$8+(2-2)*Inputs!$H$11</x:f>
        <x:v>0.025</x:v>
      </x:c>
      <x:c r="G54" s="11" t="n">
        <x:f>Inputs!$H$8+(3-2)*Inputs!$H$11</x:f>
        <x:v>0.030000000000000002</x:v>
      </x:c>
      <x:c r="H54" s="11" t="n">
        <x:f>Inputs!$H$8+(4-2)*Inputs!$H$11</x:f>
        <x:v>0.035</x:v>
      </x:c>
      <x:c r="I54" s="2"/>
    </x:row>
    <x:row r="55" ht="22" customHeight="1">
      <x:c r="A55" s="2"/>
      <x:c r="B55" s="2"/>
      <x:c r="C55" s="11" t="n">
        <x:f>Inputs!$D$8+(0-2)*Inputs!$H$12</x:f>
        <x:v>0.08</x:v>
      </x:c>
      <x:c r="D55" s="5" t="n">
        <x:f>IF(AND(COUNT($D$24:$H$24,D$54,$C55,Inputs!$D$9,Inputs!$H$9)=9,$C55&gt;D$54,D$54&gt;=0,Inputs!$D$9&gt;0,D$54&lt;=Inputs!$D$9,Inputs!$H$9&gt;=0,Inputs!$H$9&lt;=1,$H$17&gt;0),$D$24/(1+$C55)^1+$E$24/(1+$C55)^2+$F$24/(1+$C55)^3+$G$24/(1+$C55)^4+$H$24/(1+$C55)^5+($H$17*(1+D$54)-MAX($H$17*(1+D$54),0)*Inputs!$H$9)*(1-D$54/Inputs!$D$9)/($C55-D$54)/(1+$C55)^5,"n.a.")</x:f>
        <x:v>234.75262471075104</x:v>
      </x:c>
      <x:c r="E55" s="5" t="n">
        <x:f>IF(AND(COUNT($D$24:$H$24,E$54,$C55,Inputs!$D$9,Inputs!$H$9)=9,$C55&gt;E$54,E$54&gt;=0,Inputs!$D$9&gt;0,E$54&lt;=Inputs!$D$9,Inputs!$H$9&gt;=0,Inputs!$H$9&lt;=1,$H$17&gt;0),$D$24/(1+$C55)^1+$E$24/(1+$C55)^2+$F$24/(1+$C55)^3+$G$24/(1+$C55)^4+$H$24/(1+$C55)^5+($H$17*(1+E$54)-MAX($H$17*(1+E$54),0)*Inputs!$H$9)*(1-E$54/Inputs!$D$9)/($C55-E$54)/(1+$C55)^5,"n.a.")</x:f>
        <x:v>241.33577871885117</x:v>
      </x:c>
      <x:c r="F55" s="5" t="n">
        <x:f>IF(AND(COUNT($D$24:$H$24,F$54,$C55,Inputs!$D$9,Inputs!$H$9)=9,$C55&gt;F$54,F$54&gt;=0,Inputs!$D$9&gt;0,F$54&lt;=Inputs!$D$9,Inputs!$H$9&gt;=0,Inputs!$H$9&lt;=1,$H$17&gt;0),$D$24/(1+$C55)^1+$E$24/(1+$C55)^2+$F$24/(1+$C55)^3+$G$24/(1+$C55)^4+$H$24/(1+$C55)^5+($H$17*(1+F$54)-MAX($H$17*(1+F$54),0)*Inputs!$H$9)*(1-F$54/Inputs!$D$9)/($C55-F$54)/(1+$C55)^5,"n.a.")</x:f>
        <x:v>249.01676037856268</x:v>
      </x:c>
      <x:c r="G55" s="5" t="n">
        <x:f>IF(AND(COUNT($D$24:$H$24,G$54,$C55,Inputs!$D$9,Inputs!$H$9)=9,$C55&gt;G$54,G$54&gt;=0,Inputs!$D$9&gt;0,G$54&lt;=Inputs!$D$9,Inputs!$H$9&gt;=0,Inputs!$H$9&lt;=1,$H$17&gt;0),$D$24/(1+$C55)^1+$E$24/(1+$C55)^2+$F$24/(1+$C55)^3+$G$24/(1+$C55)^4+$H$24/(1+$C55)^5+($H$17*(1+G$54)-MAX($H$17*(1+G$54),0)*Inputs!$H$9)*(1-G$54/Inputs!$D$9)/($C55-G$54)/(1+$C55)^5,"n.a.")</x:f>
        <x:v>258.124917985369</x:v>
      </x:c>
      <x:c r="H55" s="5" t="n">
        <x:f>IF(AND(COUNT($D$24:$H$24,H$54,$C55,Inputs!$D$9,Inputs!$H$9)=9,$C55&gt;H$54,H$54&gt;=0,Inputs!$D$9&gt;0,H$54&lt;=Inputs!$D$9,Inputs!$H$9&gt;=0,Inputs!$H$9&lt;=1,$H$17&gt;0),$D$24/(1+$C55)^1+$E$24/(1+$C55)^2+$F$24/(1+$C55)^3+$G$24/(1+$C55)^4+$H$24/(1+$C55)^5+($H$17*(1+H$54)-MAX($H$17*(1+H$54),0)*Inputs!$H$9)*(1-H$54/Inputs!$D$9)/($C55-H$54)/(1+$C55)^5,"n.a.")</x:f>
        <x:v>269.13597685496825</x:v>
      </x:c>
      <x:c r="I55" s="2"/>
    </x:row>
    <x:row r="56" ht="22" customHeight="1">
      <x:c r="A56" s="2"/>
      <x:c r="B56" s="2"/>
      <x:c r="C56" s="11" t="n">
        <x:f>Inputs!$D$8+(1-2)*Inputs!$H$12</x:f>
        <x:v>0.09000000000000001</x:v>
      </x:c>
      <x:c r="D56" s="5" t="n">
        <x:f>IF(AND(COUNT($D$24:$H$24,D$54,$C56,Inputs!$D$9,Inputs!$H$9)=9,$C56&gt;D$54,D$54&gt;=0,Inputs!$D$9&gt;0,D$54&lt;=Inputs!$D$9,Inputs!$H$9&gt;=0,Inputs!$H$9&lt;=1,$H$17&gt;0),$D$24/(1+$C56)^1+$E$24/(1+$C56)^2+$F$24/(1+$C56)^3+$G$24/(1+$C56)^4+$H$24/(1+$C56)^5+($H$17*(1+D$54)-MAX($H$17*(1+D$54),0)*Inputs!$H$9)*(1-D$54/Inputs!$D$9)/($C56-D$54)/(1+$C56)^5,"n.a.")</x:f>
        <x:v>202.3651969281126</x:v>
      </x:c>
      <x:c r="E56" s="5" t="n">
        <x:f>IF(AND(COUNT($D$24:$H$24,E$54,$C56,Inputs!$D$9,Inputs!$H$9)=9,$C56&gt;E$54,E$54&gt;=0,Inputs!$D$9&gt;0,E$54&lt;=Inputs!$D$9,Inputs!$H$9&gt;=0,Inputs!$H$9&lt;=1,$H$17&gt;0),$D$24/(1+$C56)^1+$E$24/(1+$C56)^2+$F$24/(1+$C56)^3+$G$24/(1+$C56)^4+$H$24/(1+$C56)^5+($H$17*(1+E$54)-MAX($H$17*(1+E$54),0)*Inputs!$H$9)*(1-E$54/Inputs!$D$9)/($C56-E$54)/(1+$C56)^5,"n.a.")</x:f>
        <x:v>206.12804323244785</x:v>
      </x:c>
      <x:c r="F56" s="5" t="n">
        <x:f>IF(AND(COUNT($D$24:$H$24,F$54,$C56,Inputs!$D$9,Inputs!$H$9)=9,$C56&gt;F$54,F$54&gt;=0,Inputs!$D$9&gt;0,F$54&lt;=Inputs!$D$9,Inputs!$H$9&gt;=0,Inputs!$H$9&lt;=1,$H$17&gt;0),$D$24/(1+$C56)^1+$E$24/(1+$C56)^2+$F$24/(1+$C56)^3+$G$24/(1+$C56)^4+$H$24/(1+$C56)^5+($H$17*(1+F$54)-MAX($H$17*(1+F$54),0)*Inputs!$H$9)*(1-F$54/Inputs!$D$9)/($C56-F$54)/(1+$C56)^5,"n.a.")</x:f>
        <x:v>210.3897040666372</x:v>
      </x:c>
      <x:c r="G56" s="5" t="n">
        <x:f>IF(AND(COUNT($D$24:$H$24,G$54,$C56,Inputs!$D$9,Inputs!$H$9)=9,$C56&gt;G$54,G$54&gt;=0,Inputs!$D$9&gt;0,G$54&lt;=Inputs!$D$9,Inputs!$H$9&gt;=0,Inputs!$H$9&lt;=1,$H$17&gt;0),$D$24/(1+$C56)^1+$E$24/(1+$C56)^2+$F$24/(1+$C56)^3+$G$24/(1+$C56)^4+$H$24/(1+$C56)^5+($H$17*(1+G$54)-MAX($H$17*(1+G$54),0)*Inputs!$H$9)*(1-G$54/Inputs!$D$9)/($C56-G$54)/(1+$C56)^5,"n.a.")</x:f>
        <x:v>215.27488306314422</x:v>
      </x:c>
      <x:c r="H56" s="5" t="n">
        <x:f>IF(AND(COUNT($D$24:$H$24,H$54,$C56,Inputs!$D$9,Inputs!$H$9)=9,$C56&gt;H$54,H$54&gt;=0,Inputs!$D$9&gt;0,H$54&lt;=Inputs!$D$9,Inputs!$H$9&gt;=0,Inputs!$H$9&lt;=1,$H$17&gt;0),$D$24/(1+$C56)^1+$E$24/(1+$C56)^2+$F$24/(1+$C56)^3+$G$24/(1+$C56)^4+$H$24/(1+$C56)^5+($H$17*(1+H$54)-MAX($H$17*(1+H$54),0)*Inputs!$H$9)*(1-H$54/Inputs!$D$9)/($C56-H$54)/(1+$C56)^5,"n.a.")</x:f>
        <x:v>220.9536306298736</x:v>
      </x:c>
      <x:c r="I56" s="2"/>
    </x:row>
    <x:row r="57" ht="22" customHeight="1">
      <x:c r="A57" s="2"/>
      <x:c r="B57" s="2"/>
      <x:c r="C57" s="11" t="n">
        <x:f>Inputs!$D$8+(2-2)*Inputs!$H$12</x:f>
        <x:v>0.1</x:v>
      </x:c>
      <x:c r="D57" s="5" t="n">
        <x:f>IF(AND(COUNT($D$24:$H$24,D$54,$C57,Inputs!$D$9,Inputs!$H$9)=9,$C57&gt;D$54,D$54&gt;=0,Inputs!$D$9&gt;0,D$54&lt;=Inputs!$D$9,Inputs!$H$9&gt;=0,Inputs!$H$9&lt;=1,$H$17&gt;0),$D$24/(1+$C57)^1+$E$24/(1+$C57)^2+$F$24/(1+$C57)^3+$G$24/(1+$C57)^4+$H$24/(1+$C57)^5+($H$17*(1+D$54)-MAX($H$17*(1+D$54),0)*Inputs!$H$9)*(1-D$54/Inputs!$D$9)/($C57-D$54)/(1+$C57)^5,"n.a.")</x:f>
        <x:v>177.62378188166187</x:v>
      </x:c>
      <x:c r="E57" s="5" t="n">
        <x:f>IF(AND(COUNT($D$24:$H$24,E$54,$C57,Inputs!$D$9,Inputs!$H$9)=9,$C57&gt;E$54,E$54&gt;=0,Inputs!$D$9&gt;0,E$54&lt;=Inputs!$D$9,Inputs!$H$9&gt;=0,Inputs!$H$9&lt;=1,$H$17&gt;0),$D$24/(1+$C57)^1+$E$24/(1+$C57)^2+$F$24/(1+$C57)^3+$G$24/(1+$C57)^4+$H$24/(1+$C57)^5+($H$17*(1+E$54)-MAX($H$17*(1+E$54),0)*Inputs!$H$9)*(1-E$54/Inputs!$D$9)/($C57-E$54)/(1+$C57)^5,"n.a.")</x:f>
        <x:v>179.73006449013045</x:v>
      </x:c>
      <x:c r="F57" s="23" t="n">
        <x:f>IF(AND(COUNT($D$24:$H$24,F$54,$C57,Inputs!$D$9,Inputs!$H$9)=9,$C57&gt;F$54,F$54&gt;=0,Inputs!$D$9&gt;0,F$54&lt;=Inputs!$D$9,Inputs!$H$9&gt;=0,Inputs!$H$9&lt;=1,$H$17&gt;0),$D$24/(1+$C57)^1+$E$24/(1+$C57)^2+$F$24/(1+$C57)^3+$G$24/(1+$C57)^4+$H$24/(1+$C57)^5+($H$17*(1+F$54)-MAX($H$17*(1+F$54),0)*Inputs!$H$9)*(1-F$54/Inputs!$D$9)/($C57-F$54)/(1+$C57)^5,"n.a.")</x:f>
        <x:v>182.05087588279486</x:v>
      </x:c>
      <x:c r="G57" s="5" t="n">
        <x:f>IF(AND(COUNT($D$24:$H$24,G$54,$C57,Inputs!$D$9,Inputs!$H$9)=9,$C57&gt;G$54,G$54&gt;=0,Inputs!$D$9&gt;0,G$54&lt;=Inputs!$D$9,Inputs!$H$9&gt;=0,Inputs!$H$9&lt;=1,$H$17&gt;0),$D$24/(1+$C57)^1+$E$24/(1+$C57)^2+$F$24/(1+$C57)^3+$G$24/(1+$C57)^4+$H$24/(1+$C57)^5+($H$17*(1+G$54)-MAX($H$17*(1+G$54),0)*Inputs!$H$9)*(1-G$54/Inputs!$D$9)/($C57-G$54)/(1+$C57)^5,"n.a.")</x:f>
        <x:v>184.63218651341145</x:v>
      </x:c>
      <x:c r="H57" s="5" t="n">
        <x:f>IF(AND(COUNT($D$24:$H$24,H$54,$C57,Inputs!$D$9,Inputs!$H$9)=9,$C57&gt;H$54,H$54&gt;=0,Inputs!$D$9&gt;0,H$54&lt;=Inputs!$D$9,Inputs!$H$9&gt;=0,Inputs!$H$9&lt;=1,$H$17&gt;0),$D$24/(1+$C57)^1+$E$24/(1+$C57)^2+$F$24/(1+$C57)^3+$G$24/(1+$C57)^4+$H$24/(1+$C57)^5+($H$17*(1+H$54)-MAX($H$17*(1+H$54),0)*Inputs!$H$9)*(1-H$54/Inputs!$D$9)/($C57-H$54)/(1+$C57)^5,"n.a.")</x:f>
        <x:v>187.5341115907383</x:v>
      </x:c>
      <x:c r="I57" s="2"/>
    </x:row>
    <x:row r="58" ht="22" customHeight="1">
      <x:c r="A58" s="2"/>
      <x:c r="B58" s="2"/>
      <x:c r="C58" s="11" t="n">
        <x:f>Inputs!$D$8+(3-2)*Inputs!$H$12</x:f>
        <x:v>0.11</x:v>
      </x:c>
      <x:c r="D58" s="5" t="n">
        <x:f>IF(AND(COUNT($D$24:$H$24,D$54,$C58,Inputs!$D$9,Inputs!$H$9)=9,$C58&gt;D$54,D$54&gt;=0,Inputs!$D$9&gt;0,D$54&lt;=Inputs!$D$9,Inputs!$H$9&gt;=0,Inputs!$H$9&lt;=1,$H$17&gt;0),$D$24/(1+$C58)^1+$E$24/(1+$C58)^2+$F$24/(1+$C58)^3+$G$24/(1+$C58)^4+$H$24/(1+$C58)^5+($H$17*(1+D$54)-MAX($H$17*(1+D$54),0)*Inputs!$H$9)*(1-D$54/Inputs!$D$9)/($C58-D$54)/(1+$C58)^5,"n.a.")</x:f>
        <x:v>158.11307604480788</x:v>
      </x:c>
      <x:c r="E58" s="5" t="n">
        <x:f>IF(AND(COUNT($D$24:$H$24,E$54,$C58,Inputs!$D$9,Inputs!$H$9)=9,$C58&gt;E$54,E$54&gt;=0,Inputs!$D$9&gt;0,E$54&lt;=Inputs!$D$9,Inputs!$H$9&gt;=0,Inputs!$H$9&lt;=1,$H$17&gt;0),$D$24/(1+$C58)^1+$E$24/(1+$C58)^2+$F$24/(1+$C58)^3+$G$24/(1+$C58)^4+$H$24/(1+$C58)^5+($H$17*(1+E$54)-MAX($H$17*(1+E$54),0)*Inputs!$H$9)*(1-E$54/Inputs!$D$9)/($C58-E$54)/(1+$C58)^5,"n.a.")</x:f>
        <x:v>159.20546685661978</x:v>
      </x:c>
      <x:c r="F58" s="5" t="n">
        <x:f>IF(AND(COUNT($D$24:$H$24,F$54,$C58,Inputs!$D$9,Inputs!$H$9)=9,$C58&gt;F$54,F$54&gt;=0,Inputs!$D$9&gt;0,F$54&lt;=Inputs!$D$9,Inputs!$H$9&gt;=0,Inputs!$H$9&lt;=1,$H$17&gt;0),$D$24/(1+$C58)^1+$E$24/(1+$C58)^2+$F$24/(1+$C58)^3+$G$24/(1+$C58)^4+$H$24/(1+$C58)^5+($H$17*(1+F$54)-MAX($H$17*(1+F$54),0)*Inputs!$H$9)*(1-F$54/Inputs!$D$9)/($C58-F$54)/(1+$C58)^5,"n.a.")</x:f>
        <x:v>160.37045481263834</x:v>
      </x:c>
      <x:c r="G58" s="5" t="n">
        <x:f>IF(AND(COUNT($D$24:$H$24,G$54,$C58,Inputs!$D$9,Inputs!$H$9)=9,$C58&gt;G$54,G$54&gt;=0,Inputs!$D$9&gt;0,G$54&lt;=Inputs!$D$9,Inputs!$H$9&gt;=0,Inputs!$H$9&lt;=1,$H$17&gt;0),$D$24/(1+$C58)^1+$E$24/(1+$C58)^2+$F$24/(1+$C58)^3+$G$24/(1+$C58)^4+$H$24/(1+$C58)^5+($H$17*(1+G$54)-MAX($H$17*(1+G$54),0)*Inputs!$H$9)*(1-G$54/Inputs!$D$9)/($C58-G$54)/(1+$C58)^5,"n.a.")</x:f>
        <x:v>161.62165187740231</x:v>
      </x:c>
      <x:c r="H58" s="5" t="n">
        <x:f>IF(AND(COUNT($D$24:$H$24,H$54,$C58,Inputs!$D$9,Inputs!$H$9)=9,$C58&gt;H$54,H$54&gt;=0,Inputs!$D$9&gt;0,H$54&lt;=Inputs!$D$9,Inputs!$H$9&gt;=0,Inputs!$H$9&lt;=1,$H$17&gt;0),$D$24/(1+$C58)^1+$E$24/(1+$C58)^2+$F$24/(1+$C58)^3+$G$24/(1+$C58)^4+$H$24/(1+$C58)^5+($H$17*(1+H$54)-MAX($H$17*(1+H$54),0)*Inputs!$H$9)*(1-H$54/Inputs!$D$9)/($C58-H$54)/(1+$C58)^5,"n.a.")</x:f>
        <x:v>162.97629987266063</x:v>
      </x:c>
      <x:c r="I58" s="2"/>
    </x:row>
    <x:row r="59" ht="22" customHeight="1">
      <x:c r="A59" s="2"/>
      <x:c r="B59" s="2"/>
      <x:c r="C59" s="11" t="n">
        <x:f>Inputs!$D$8+(4-2)*Inputs!$H$12</x:f>
        <x:v>0.12000000000000001</x:v>
      </x:c>
      <x:c r="D59" s="5" t="n">
        <x:f>IF(AND(COUNT($D$24:$H$24,D$54,$C59,Inputs!$D$9,Inputs!$H$9)=9,$C59&gt;D$54,D$54&gt;=0,Inputs!$D$9&gt;0,D$54&lt;=Inputs!$D$9,Inputs!$H$9&gt;=0,Inputs!$H$9&lt;=1,$H$17&gt;0),$D$24/(1+$C59)^1+$E$24/(1+$C59)^2+$F$24/(1+$C59)^3+$G$24/(1+$C59)^4+$H$24/(1+$C59)^5+($H$17*(1+D$54)-MAX($H$17*(1+D$54),0)*Inputs!$H$9)*(1-D$54/Inputs!$D$9)/($C59-D$54)/(1+$C59)^5,"n.a.")</x:f>
        <x:v>142.3379187664214</x:v>
      </x:c>
      <x:c r="E59" s="5" t="n">
        <x:f>IF(AND(COUNT($D$24:$H$24,E$54,$C59,Inputs!$D$9,Inputs!$H$9)=9,$C59&gt;E$54,E$54&gt;=0,Inputs!$D$9&gt;0,E$54&lt;=Inputs!$D$9,Inputs!$H$9&gt;=0,Inputs!$H$9&lt;=1,$H$17&gt;0),$D$24/(1+$C59)^1+$E$24/(1+$C59)^2+$F$24/(1+$C59)^3+$G$24/(1+$C59)^4+$H$24/(1+$C59)^5+($H$17*(1+E$54)-MAX($H$17*(1+E$54),0)*Inputs!$H$9)*(1-E$54/Inputs!$D$9)/($C59-E$54)/(1+$C59)^5,"n.a.")</x:f>
        <x:v>142.79238997914655</x:v>
      </x:c>
      <x:c r="F59" s="5" t="n">
        <x:f>IF(AND(COUNT($D$24:$H$24,F$54,$C59,Inputs!$D$9,Inputs!$H$9)=9,$C59&gt;F$54,F$54&gt;=0,Inputs!$D$9&gt;0,F$54&lt;=Inputs!$D$9,Inputs!$H$9&gt;=0,Inputs!$H$9&lt;=1,$H$17&gt;0),$D$24/(1+$C59)^1+$E$24/(1+$C59)^2+$F$24/(1+$C59)^3+$G$24/(1+$C59)^4+$H$24/(1+$C59)^5+($H$17*(1+F$54)-MAX($H$17*(1+F$54),0)*Inputs!$H$9)*(1-F$54/Inputs!$D$9)/($C59-F$54)/(1+$C59)^5,"n.a.")</x:f>
        <x:v>143.24686119187174</x:v>
      </x:c>
      <x:c r="G59" s="5" t="n">
        <x:f>IF(AND(COUNT($D$24:$H$24,G$54,$C59,Inputs!$D$9,Inputs!$H$9)=9,$C59&gt;G$54,G$54&gt;=0,Inputs!$D$9&gt;0,G$54&lt;=Inputs!$D$9,Inputs!$H$9&gt;=0,Inputs!$H$9&lt;=1,$H$17&gt;0),$D$24/(1+$C59)^1+$E$24/(1+$C59)^2+$F$24/(1+$C59)^3+$G$24/(1+$C59)^4+$H$24/(1+$C59)^5+($H$17*(1+G$54)-MAX($H$17*(1+G$54),0)*Inputs!$H$9)*(1-G$54/Inputs!$D$9)/($C59-G$54)/(1+$C59)^5,"n.a.")</x:f>
        <x:v>143.70133240459688</x:v>
      </x:c>
      <x:c r="H59" s="5" t="n">
        <x:f>IF(AND(COUNT($D$24:$H$24,H$54,$C59,Inputs!$D$9,Inputs!$H$9)=9,$C59&gt;H$54,H$54&gt;=0,Inputs!$D$9&gt;0,H$54&lt;=Inputs!$D$9,Inputs!$H$9&gt;=0,Inputs!$H$9&lt;=1,$H$17&gt;0),$D$24/(1+$C59)^1+$E$24/(1+$C59)^2+$F$24/(1+$C59)^3+$G$24/(1+$C59)^4+$H$24/(1+$C59)^5+($H$17*(1+H$54)-MAX($H$17*(1+H$54),0)*Inputs!$H$9)*(1-H$54/Inputs!$D$9)/($C59-H$54)/(1+$C59)^5,"n.a.")</x:f>
        <x:v>144.15580361732202</x:v>
      </x:c>
      <x:c r="I59" s="2"/>
    </x:row>
    <x:row r="60" ht="22" customHeight="1">
      <x:c r="A60" s="2"/>
      <x:c r="B60" s="2"/>
      <x:c r="C60" s="5"/>
      <x:c r="D60" s="5"/>
      <x:c r="E60" s="5"/>
      <x:c r="F60" s="5"/>
      <x:c r="G60" s="5"/>
      <x:c r="H60" s="5"/>
      <x:c r="I60" s="2"/>
    </x:row>
    <x:row r="61" ht="22" customHeight="1">
      <x:c r="A61" s="2"/>
      <x:c r="B61" s="2" t="str">
        <x:v>All cells in this grid re-discount every annual cash flow at the row WACC. Center = base EV.</x:v>
      </x:c>
      <x:c r="C61" s="5"/>
      <x:c r="D61" s="5"/>
      <x:c r="E61" s="5"/>
      <x:c r="F61" s="5"/>
      <x:c r="G61" s="5"/>
      <x:c r="H61" s="5"/>
      <x:c r="I61" s="2"/>
    </x:row>
    <x:row r="62" ht="22" customHeight="1">
      <x:c r="A62" s="2"/>
      <x:c r="B62" s="2"/>
      <x:c r="C62" s="5"/>
      <x:c r="D62" s="5"/>
      <x:c r="E62" s="5"/>
      <x:c r="F62" s="5"/>
      <x:c r="G62" s="5"/>
      <x:c r="H62" s="5"/>
      <x:c r="I6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67889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2" customHeight="1">
      <x:c r="A2" s="2"/>
      <x:c r="B2" s="3" t="str">
        <x:v>Model inputs</x:v>
      </x:c>
      <x:c r="C2" s="3"/>
      <x:c r="D2" s="3"/>
      <x:c r="E2" s="3"/>
      <x:c r="F2" s="3"/>
      <x:c r="G2" s="3"/>
      <x:c r="H2" s="3"/>
      <x:c r="I2" s="2"/>
    </x:row>
    <x:row r="3" ht="22" customHeight="1">
      <x:c r="A3" s="2"/>
      <x:c r="B3" s="4"/>
      <x:c r="C3" s="4"/>
      <x:c r="D3" s="4"/>
      <x:c r="E3" s="4"/>
      <x:c r="F3" s="4"/>
      <x:c r="G3" s="4"/>
      <x:c r="H3" s="4"/>
      <x:c r="I3" s="2"/>
    </x:row>
    <x:row r="4" ht="22" customHeight="1">
      <x:c r="A4" s="2"/>
      <x:c r="B4" s="2" t="str">
        <x:v>All starting numbers are fictional. Replace amber cells with your own sourced inputs.</x:v>
      </x:c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5"/>
      <x:c r="D5" s="5"/>
      <x:c r="E5" s="5"/>
      <x:c r="F5" s="5"/>
      <x:c r="G5" s="5"/>
      <x:c r="H5" s="5"/>
      <x:c r="I5" s="2"/>
    </x:row>
    <x:row r="6" ht="22" customHeight="1">
      <x:c r="A6" s="2"/>
      <x:c r="B6" s="2"/>
      <x:c r="C6" s="5"/>
      <x:c r="D6" s="5"/>
      <x:c r="E6" s="5"/>
      <x:c r="F6" s="5"/>
      <x:c r="G6" s="5"/>
      <x:c r="H6" s="5"/>
      <x:c r="I6" s="2"/>
    </x:row>
    <x:row r="7" ht="22" customHeight="1">
      <x:c r="A7" s="2"/>
      <x:c r="B7" s="2"/>
      <x:c r="C7" s="5"/>
      <x:c r="D7" s="5"/>
      <x:c r="E7" s="5"/>
      <x:c r="F7" s="5"/>
      <x:c r="G7" s="5"/>
      <x:c r="H7" s="5"/>
      <x:c r="I7" s="2"/>
    </x:row>
    <x:row r="8" ht="22" customHeight="1">
      <x:c r="A8" s="2"/>
      <x:c r="B8" s="2" t="str">
        <x:v>WACC</x:v>
      </x:c>
      <x:c r="C8" s="5"/>
      <x:c r="D8" s="25" t="n">
        <x:v>0.1</x:v>
      </x:c>
      <x:c r="E8" s="5"/>
      <x:c r="F8" s="5" t="str">
        <x:v>Terminal growth</x:v>
      </x:c>
      <x:c r="G8" s="5"/>
      <x:c r="H8" s="25" t="n">
        <x:v>0.025</x:v>
      </x:c>
      <x:c r="I8" s="2"/>
    </x:row>
    <x:row r="9" ht="22" customHeight="1">
      <x:c r="A9" s="2"/>
      <x:c r="B9" s="2" t="str">
        <x:v>Terminal ROIC</x:v>
      </x:c>
      <x:c r="C9" s="5"/>
      <x:c r="D9" s="25" t="n">
        <x:v>0.12</x:v>
      </x:c>
      <x:c r="E9" s="5"/>
      <x:c r="F9" s="5" t="str">
        <x:v>Terminal tax rate</x:v>
      </x:c>
      <x:c r="G9" s="5"/>
      <x:c r="H9" s="25" t="n">
        <x:v>0.25</x:v>
      </x:c>
      <x:c r="I9" s="2"/>
    </x:row>
    <x:row r="10" ht="22" customHeight="1">
      <x:c r="A10" s="2"/>
      <x:c r="B10" s="2" t="str">
        <x:v>Excess cash</x:v>
      </x:c>
      <x:c r="C10" s="5"/>
      <x:c r="D10" s="24" t="n">
        <x:v>10</x:v>
      </x:c>
      <x:c r="E10" s="5"/>
      <x:c r="F10" s="5" t="str">
        <x:v>Shares, millions</x:v>
      </x:c>
      <x:c r="G10" s="5"/>
      <x:c r="H10" s="24" t="n">
        <x:v>10</x:v>
      </x:c>
      <x:c r="I10" s="2"/>
    </x:row>
    <x:row r="11" ht="22" customHeight="1">
      <x:c r="A11" s="2"/>
      <x:c r="B11" s="2" t="str">
        <x:v>Non-operating assets</x:v>
      </x:c>
      <x:c r="C11" s="5"/>
      <x:c r="D11" s="24" t="n">
        <x:v>0</x:v>
      </x:c>
      <x:c r="E11" s="5"/>
      <x:c r="F11" s="5" t="str">
        <x:v>Growth grid step</x:v>
      </x:c>
      <x:c r="G11" s="5"/>
      <x:c r="H11" s="25" t="n">
        <x:v>0.005</x:v>
      </x:c>
      <x:c r="I11" s="2"/>
    </x:row>
    <x:row r="12" ht="22" customHeight="1">
      <x:c r="A12" s="2"/>
      <x:c r="B12" s="2" t="str">
        <x:v>Debt &amp; finance claims</x:v>
      </x:c>
      <x:c r="C12" s="5"/>
      <x:c r="D12" s="24" t="n">
        <x:v>20</x:v>
      </x:c>
      <x:c r="E12" s="5"/>
      <x:c r="F12" s="5" t="str">
        <x:v>WACC grid step</x:v>
      </x:c>
      <x:c r="G12" s="5"/>
      <x:c r="H12" s="25" t="n">
        <x:v>0.01</x:v>
      </x:c>
      <x:c r="I12" s="2"/>
    </x:row>
    <x:row r="13" ht="22" customHeight="1">
      <x:c r="A13" s="2"/>
      <x:c r="B13" s="2" t="str">
        <x:v>Other senior claims</x:v>
      </x:c>
      <x:c r="C13" s="5"/>
      <x:c r="D13" s="24" t="n">
        <x:v>0</x:v>
      </x:c>
      <x:c r="E13" s="5"/>
      <x:c r="F13" s="5"/>
      <x:c r="G13" s="5"/>
      <x:c r="H13" s="5"/>
      <x:c r="I13" s="2"/>
    </x:row>
    <x:row r="14" ht="22" customHeight="1">
      <x:c r="A14" s="2"/>
      <x:c r="B14" s="2"/>
      <x:c r="C14" s="5"/>
      <x:c r="D14" s="5"/>
      <x:c r="E14" s="5"/>
      <x:c r="F14" s="5"/>
      <x:c r="G14" s="5"/>
      <x:c r="H14" s="5"/>
      <x:c r="I14" s="2"/>
    </x:row>
    <x:row r="15" ht="25" customHeight="1">
      <x:c r="A15" s="2"/>
      <x:c r="B15" s="14" t="str">
        <x:v>Annual operating assumptions</x:v>
      </x:c>
      <x:c r="C15" s="15"/>
      <x:c r="D15" s="15"/>
      <x:c r="E15" s="15"/>
      <x:c r="F15" s="15"/>
      <x:c r="G15" s="15"/>
      <x:c r="H15" s="15"/>
      <x:c r="I15" s="2"/>
    </x:row>
    <x:row r="16" ht="22" customHeight="1">
      <x:c r="A16" s="2"/>
      <x:c r="B16" s="2"/>
      <x:c r="C16" s="5" t="str">
        <x:v>Year 0</x:v>
      </x:c>
      <x:c r="D16" s="16" t="n">
        <x:v>1</x:v>
      </x:c>
      <x:c r="E16" s="16" t="n">
        <x:v>2</x:v>
      </x:c>
      <x:c r="F16" s="16" t="n">
        <x:v>3</x:v>
      </x:c>
      <x:c r="G16" s="16" t="n">
        <x:v>4</x:v>
      </x:c>
      <x:c r="H16" s="16" t="n">
        <x:v>5</x:v>
      </x:c>
      <x:c r="I16" s="2"/>
    </x:row>
    <x:row r="17" ht="22" customHeight="1">
      <x:c r="A17" s="2"/>
      <x:c r="B17" s="2" t="str">
        <x:v>Revenue growth</x:v>
      </x:c>
      <x:c r="C17" s="24" t="n">
        <x:v>100</x:v>
      </x:c>
      <x:c r="D17" s="25" t="n">
        <x:v>0.1</x:v>
      </x:c>
      <x:c r="E17" s="25" t="n">
        <x:v>0.08</x:v>
      </x:c>
      <x:c r="F17" s="25" t="n">
        <x:v>0.06</x:v>
      </x:c>
      <x:c r="G17" s="25" t="n">
        <x:v>0.04</x:v>
      </x:c>
      <x:c r="H17" s="25" t="n">
        <x:v>0.03</x:v>
      </x:c>
      <x:c r="I17" s="2"/>
    </x:row>
    <x:row r="18" ht="22" customHeight="1">
      <x:c r="A18" s="2"/>
      <x:c r="B18" s="2" t="str">
        <x:v>EBITDA margin</x:v>
      </x:c>
      <x:c r="C18" s="5"/>
      <x:c r="D18" s="25" t="n">
        <x:v>0.2</x:v>
      </x:c>
      <x:c r="E18" s="25" t="n">
        <x:v>0.21</x:v>
      </x:c>
      <x:c r="F18" s="25" t="n">
        <x:v>0.22</x:v>
      </x:c>
      <x:c r="G18" s="25" t="n">
        <x:v>0.22</x:v>
      </x:c>
      <x:c r="H18" s="25" t="n">
        <x:v>0.22</x:v>
      </x:c>
      <x:c r="I18" s="2"/>
    </x:row>
    <x:row r="19" ht="22" customHeight="1">
      <x:c r="A19" s="2"/>
      <x:c r="B19" s="2" t="str">
        <x:v>D&amp;A / revenue</x:v>
      </x:c>
      <x:c r="C19" s="5"/>
      <x:c r="D19" s="25" t="n">
        <x:v>0.03</x:v>
      </x:c>
      <x:c r="E19" s="25" t="n">
        <x:v>0.03</x:v>
      </x:c>
      <x:c r="F19" s="25" t="n">
        <x:v>0.03</x:v>
      </x:c>
      <x:c r="G19" s="25" t="n">
        <x:v>0.03</x:v>
      </x:c>
      <x:c r="H19" s="25" t="n">
        <x:v>0.03</x:v>
      </x:c>
      <x:c r="I19" s="2"/>
    </x:row>
    <x:row r="20" ht="22" customHeight="1">
      <x:c r="A20" s="2"/>
      <x:c r="B20" s="2" t="str">
        <x:v>Cash operating tax rate</x:v>
      </x:c>
      <x:c r="C20" s="5"/>
      <x:c r="D20" s="25" t="n">
        <x:v>0.25</x:v>
      </x:c>
      <x:c r="E20" s="25" t="n">
        <x:v>0.25</x:v>
      </x:c>
      <x:c r="F20" s="25" t="n">
        <x:v>0.25</x:v>
      </x:c>
      <x:c r="G20" s="25" t="n">
        <x:v>0.25</x:v>
      </x:c>
      <x:c r="H20" s="25" t="n">
        <x:v>0.25</x:v>
      </x:c>
      <x:c r="I20" s="2"/>
    </x:row>
    <x:row r="21" ht="22" customHeight="1">
      <x:c r="A21" s="2"/>
      <x:c r="B21" s="2" t="str">
        <x:v>Capex / revenue</x:v>
      </x:c>
      <x:c r="C21" s="5"/>
      <x:c r="D21" s="25" t="n">
        <x:v>0.05</x:v>
      </x:c>
      <x:c r="E21" s="25" t="n">
        <x:v>0.05</x:v>
      </x:c>
      <x:c r="F21" s="25" t="n">
        <x:v>0.045</x:v>
      </x:c>
      <x:c r="G21" s="25" t="n">
        <x:v>0.04</x:v>
      </x:c>
      <x:c r="H21" s="25" t="n">
        <x:v>0.04</x:v>
      </x:c>
      <x:c r="I21" s="2"/>
    </x:row>
    <x:row r="22" ht="22" customHeight="1">
      <x:c r="A22" s="2"/>
      <x:c r="B22" s="2" t="str">
        <x:v>Operating NWC / revenue</x:v>
      </x:c>
      <x:c r="C22" s="24" t="n">
        <x:v>15</x:v>
      </x:c>
      <x:c r="D22" s="25" t="n">
        <x:v>0.15</x:v>
      </x:c>
      <x:c r="E22" s="25" t="n">
        <x:v>0.15</x:v>
      </x:c>
      <x:c r="F22" s="25" t="n">
        <x:v>0.15</x:v>
      </x:c>
      <x:c r="G22" s="25" t="n">
        <x:v>0.15</x:v>
      </x:c>
      <x:c r="H22" s="25" t="n">
        <x:v>0.15</x:v>
      </x:c>
      <x:c r="I22" s="2"/>
    </x:row>
    <x:row r="23" ht="22" customHeight="1">
      <x:c r="A23" s="2"/>
      <x:c r="B23" s="2"/>
      <x:c r="C23" s="5"/>
      <x:c r="D23" s="5"/>
      <x:c r="E23" s="5"/>
      <x:c r="F23" s="5"/>
      <x:c r="G23" s="5"/>
      <x:c r="H23" s="5"/>
      <x:c r="I23" s="2"/>
    </x:row>
    <x:row r="24" ht="22" customHeight="1">
      <x:c r="A24" s="2"/>
      <x:c r="B24" s="2" t="str">
        <x:v>Year 0 cells contain revenue and operating NWC amounts, not growth or NWC percentages.</x:v>
      </x:c>
      <x:c r="C24" s="5"/>
      <x:c r="D24" s="5"/>
      <x:c r="E24" s="5"/>
      <x:c r="F24" s="5"/>
      <x:c r="G24" s="5"/>
      <x:c r="H24" s="5"/>
      <x:c r="I24" s="2"/>
    </x:row>
    <x:row r="25" ht="22" customHeight="1">
      <x:c r="A25" s="2"/>
      <x:c r="B25" s="2"/>
      <x:c r="C25" s="5"/>
      <x:c r="D25" s="5"/>
      <x:c r="E25" s="5"/>
      <x:c r="F25" s="5"/>
      <x:c r="G25" s="5"/>
      <x:c r="H25" s="5"/>
      <x:c r="I25" s="2"/>
    </x:row>
    <x:row r="26" ht="22" customHeight="1">
      <x:c r="A26" s="2"/>
      <x:c r="B26" s="2" t="str">
        <x:v>Use the same currency and scale for cash, debt, claims and the operating forecast.</x:v>
      </x:c>
      <x:c r="C26" s="5"/>
      <x:c r="D26" s="5"/>
      <x:c r="E26" s="5"/>
      <x:c r="F26" s="5"/>
      <x:c r="G26" s="5"/>
      <x:c r="H26" s="5"/>
      <x:c r="I26" s="2"/>
    </x:row>
    <x:row r="27" ht="22" customHeight="1">
      <x:c r="A27" s="2"/>
      <x:c r="B27" s="2" t="str">
        <x:v>Amounts are USD millions. Shares are millions. Result per share is USD.</x:v>
      </x:c>
      <x:c r="C27" s="5"/>
      <x:c r="D27" s="5"/>
      <x:c r="E27" s="5"/>
      <x:c r="F27" s="5"/>
      <x:c r="G27" s="5"/>
      <x:c r="H27" s="5"/>
      <x:c r="I27" s="2"/>
    </x:row>
    <x:row r="28" ht="22" customHeight="1">
      <x:c r="A28" s="2"/>
      <x:c r="B28" s="2" t="str">
        <x:v>Tax losses carry no automatic benefit. Debt interest is excluded from FCFF.</x:v>
      </x:c>
      <x:c r="C28" s="5"/>
      <x:c r="D28" s="5"/>
      <x:c r="E28" s="5"/>
      <x:c r="F28" s="5"/>
      <x:c r="G28" s="5"/>
      <x:c r="H28" s="5"/>
      <x:c r="I28" s="2"/>
    </x:row>
    <x:row r="29" ht="22" customHeight="1">
      <x:c r="A29" s="2"/>
      <x:c r="B29" s="2" t="str">
        <x:v>Terminal NOPAT grows from Year 5 EBIT; reinvestment = growth / terminal ROIC.</x:v>
      </x:c>
      <x:c r="C29" s="5"/>
      <x:c r="D29" s="5"/>
      <x:c r="E29" s="5"/>
      <x:c r="F29" s="5"/>
      <x:c r="G29" s="5"/>
      <x:c r="H29" s="5"/>
      <x:c r="I29" s="2"/>
    </x:row>
    <x:row r="30" ht="22" customHeight="1">
      <x:c r="A30" s="2"/>
      <x:c r="B30" s="2" t="str">
        <x:v>Enter cash, non-operating assets, debt and claims as positive amounts; subtraction is built in.</x:v>
      </x:c>
      <x:c r="C30" s="5"/>
      <x:c r="D30" s="5"/>
      <x:c r="E30" s="5"/>
      <x:c r="F30" s="5"/>
      <x:c r="G30" s="5"/>
      <x:c r="H30" s="5"/>
      <x:c r="I30" s="2"/>
    </x:row>
    <x:row r="31" ht="22" customHeight="1">
      <x:c r="A31" s="2"/>
      <x:c r="B31" s="2" t="str">
        <x:v>A real case may need additional debt, leases, dilution, tax and funding schedules.</x:v>
      </x:c>
      <x:c r="C31" s="5"/>
      <x:c r="D31" s="5"/>
      <x:c r="E31" s="5"/>
      <x:c r="F31" s="5"/>
      <x:c r="G31" s="5"/>
      <x:c r="H31" s="5"/>
      <x:c r="I31" s="2"/>
    </x:row>
    <x:row r="32" ht="22" customHeight="1">
      <x:c r="A32" s="2"/>
      <x:c r="B32" s="2"/>
      <x:c r="C32" s="5"/>
      <x:c r="D32" s="5"/>
      <x:c r="E32" s="5"/>
      <x:c r="F32" s="5"/>
      <x:c r="G32" s="5"/>
      <x:c r="H32" s="5"/>
      <x:c r="I32" s="2"/>
    </x:row>
    <x:row r="33" ht="22" customHeight="1">
      <x:c r="A33" s="2"/>
      <x:c r="B33" s="2" t="str">
        <x:v>Method references (read with the AI kit sources and review checklist)</x:v>
      </x:c>
      <x:c r="C33" s="5"/>
      <x:c r="D33" s="5"/>
      <x:c r="E33" s="5"/>
      <x:c r="F33" s="5"/>
      <x:c r="G33" s="5"/>
      <x:c r="H33" s="5"/>
      <x:c r="I33" s="2"/>
    </x:row>
    <x:row r="34" ht="22" customHeight="1">
      <x:c r="A34" s="2"/>
      <x:c r="B34" s="2" t="str">
        <x:v>SEC • Financial statements</x:v>
      </x:c>
      <x:c r="C34" s="5"/>
      <x:c r="D34" s="5"/>
      <x:c r="E34" s="5"/>
      <x:c r="F34" s="5"/>
      <x:c r="G34" s="5"/>
      <x:c r="H34" s="5"/>
      <x:c r="I34" s="2"/>
    </x:row>
    <x:row r="35" ht="22" customHeight="1">
      <x:c r="A35" s="2"/>
      <x:c r="B35" s="28" t="str">
        <x:v>https://www.sec.gov/investor/pubs/begfinstmtguide.htm</x:v>
      </x:c>
      <x:c r="C35" s="29"/>
      <x:c r="D35" s="29"/>
      <x:c r="E35" s="29"/>
      <x:c r="F35" s="29"/>
      <x:c r="G35" s="29"/>
      <x:c r="H35" s="29"/>
      <x:c r="I35" s="2"/>
    </x:row>
    <x:row r="36" ht="22" customHeight="1">
      <x:c r="A36" s="2"/>
      <x:c r="B36" s="2" t="str">
        <x:v>NYU • Firm cash flow</x:v>
      </x:c>
      <x:c r="C36" s="5"/>
      <x:c r="D36" s="5"/>
      <x:c r="E36" s="5"/>
      <x:c r="F36" s="5"/>
      <x:c r="G36" s="5"/>
      <x:c r="H36" s="5"/>
      <x:c r="I36" s="2"/>
    </x:row>
    <x:row r="37" ht="22" customHeight="1">
      <x:c r="A37" s="2"/>
      <x:c r="B37" s="28" t="str">
        <x:v>https://pages.stern.nyu.edu/~adamodar/New_Home_Page/littlebook/cashflows.htm</x:v>
      </x:c>
      <x:c r="C37" s="29"/>
      <x:c r="D37" s="29"/>
      <x:c r="E37" s="29"/>
      <x:c r="F37" s="29"/>
      <x:c r="G37" s="29"/>
      <x:c r="H37" s="29"/>
      <x:c r="I37" s="2"/>
    </x:row>
    <x:row r="38" ht="22" customHeight="1">
      <x:c r="A38" s="2"/>
      <x:c r="B38" s="2" t="str">
        <x:v>NYU • Terminal reinvestment</x:v>
      </x:c>
      <x:c r="C38" s="5"/>
      <x:c r="D38" s="5"/>
      <x:c r="E38" s="5"/>
      <x:c r="F38" s="5"/>
      <x:c r="G38" s="5"/>
      <x:c r="H38" s="5"/>
      <x:c r="I38" s="2"/>
    </x:row>
    <x:row r="39" ht="22" customHeight="1">
      <x:c r="A39" s="2"/>
      <x:c r="B39" s="28" t="str">
        <x:v>https://pages.stern.nyu.edu/~adamodar/New_Home_Page/valquestions/termvalueexreturns.htm</x:v>
      </x:c>
      <x:c r="C39" s="29"/>
      <x:c r="D39" s="29"/>
      <x:c r="E39" s="29"/>
      <x:c r="F39" s="29"/>
      <x:c r="G39" s="29"/>
      <x:c r="H39" s="29"/>
      <x:c r="I39" s="2"/>
    </x:row>
    <x:row r="40" ht="22" customHeight="1">
      <x:c r="A40" s="2"/>
      <x:c r="B40" s="2"/>
      <x:c r="C40" s="5"/>
      <x:c r="D40" s="5"/>
      <x:c r="E40" s="5"/>
      <x:c r="F40" s="5"/>
      <x:c r="G40" s="5"/>
      <x:c r="H40" s="5"/>
      <x:c r="I40" s="2"/>
    </x:row>
    <x:row r="41" ht="22" customHeight="1">
      <x:c r="A41" s="2"/>
      <x:c r="B41" s="2"/>
      <x:c r="C41" s="5"/>
      <x:c r="D41" s="5"/>
      <x:c r="E41" s="5"/>
      <x:c r="F41" s="5"/>
      <x:c r="G41" s="5"/>
      <x:c r="H41" s="5"/>
      <x:c r="I41" s="2"/>
    </x:row>
    <x:row r="42" ht="22" customHeight="1">
      <x:c r="A42" s="2"/>
      <x:c r="B42" s="2" t="str">
        <x:v>Capital Control • Public starter V1 • Educational-use notice amended October 2, 2026.</x:v>
      </x:c>
      <x:c r="C42" s="5"/>
      <x:c r="D42" s="5"/>
      <x:c r="E42" s="5"/>
      <x:c r="F42" s="5"/>
      <x:c r="G42" s="5"/>
      <x:c r="H42" s="5"/>
      <x:c r="I42" s="2"/>
    </x:row>
    <x:row r="43" ht="22" customHeight="1">
      <x:c r="A43" s="2"/>
      <x:c r="B43" s="26" t="str">
        <x:v>Not financial, investment, tax or legal advice. No buy, sell or hold recommendation or solicitation.</x:v>
      </x:c>
      <x:c r="C43" s="27"/>
      <x:c r="D43" s="27"/>
      <x:c r="E43" s="27"/>
      <x:c r="F43" s="27"/>
      <x:c r="G43" s="27"/>
      <x:c r="H43" s="27"/>
      <x:c r="I43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2" customHeight="1">
      <x:c r="A2" s="2"/>
      <x:c r="B2" s="3" t="str">
        <x:v>Model review</x:v>
      </x:c>
      <x:c r="C2" s="3"/>
      <x:c r="D2" s="3"/>
      <x:c r="E2" s="3"/>
      <x:c r="F2" s="3"/>
      <x:c r="G2" s="3"/>
      <x:c r="H2" s="3"/>
      <x:c r="I2" s="2"/>
    </x:row>
    <x:row r="3" ht="22" customHeight="1">
      <x:c r="A3" s="2"/>
      <x:c r="B3" s="4"/>
      <x:c r="C3" s="4"/>
      <x:c r="D3" s="4"/>
      <x:c r="E3" s="4"/>
      <x:c r="F3" s="4"/>
      <x:c r="G3" s="4"/>
      <x:c r="H3" s="4"/>
      <x:c r="I3" s="2"/>
    </x:row>
    <x:row r="4" ht="22" customHeight="1">
      <x:c r="A4" s="2"/>
      <x:c r="B4" s="2" t="str">
        <x:v>These checks cover model mechanics. Evidence, assumptions and suitability still need review.</x:v>
      </x:c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5"/>
      <x:c r="D5" s="5"/>
      <x:c r="E5" s="5"/>
      <x:c r="F5" s="5"/>
      <x:c r="G5" s="5"/>
      <x:c r="H5" s="5"/>
      <x:c r="I5" s="2"/>
    </x:row>
    <x:row r="6" ht="25" customHeight="1">
      <x:c r="A6" s="2"/>
      <x:c r="B6" s="14" t="str">
        <x:v>Mechanical checks</x:v>
      </x:c>
      <x:c r="C6" s="15"/>
      <x:c r="D6" s="15"/>
      <x:c r="E6" s="15"/>
      <x:c r="F6" s="15"/>
      <x:c r="G6" s="15"/>
      <x:c r="H6" s="15"/>
      <x:c r="I6" s="2"/>
    </x:row>
    <x:row r="7" ht="22" customHeight="1">
      <x:c r="A7" s="2"/>
      <x:c r="B7" s="2" t="str">
        <x:v>Check</x:v>
      </x:c>
      <x:c r="C7" s="5"/>
      <x:c r="D7" s="5" t="str">
        <x:v>Result</x:v>
      </x:c>
      <x:c r="E7" s="5"/>
      <x:c r="F7" s="5" t="str">
        <x:v>Expected / interpretation</x:v>
      </x:c>
      <x:c r="G7" s="5"/>
      <x:c r="H7" s="5"/>
      <x:c r="I7" s="2"/>
    </x:row>
    <x:row r="8" ht="22" customHeight="1">
      <x:c r="A8" s="2"/>
      <x:c r="B8" s="2" t="str">
        <x:v>All required numeric inputs</x:v>
      </x:c>
      <x:c r="C8" s="5"/>
      <x:c r="D8" s="5" t="str">
        <x:f>IF(COUNT(Inputs!D8:D13,Inputs!H8:H12,Inputs!C17,Inputs!C22,Inputs!D17:H22)=43,"Pass","Missing input")</x:f>
        <x:v>Pass</x:v>
      </x:c>
      <x:c r="E8" s="5"/>
      <x:c r="F8" s="5" t="str">
        <x:v>43 numeric inputs; zero is a value.</x:v>
      </x:c>
      <x:c r="G8" s="5"/>
      <x:c r="H8" s="5"/>
      <x:c r="I8" s="2"/>
    </x:row>
    <x:row r="9" ht="22" customHeight="1">
      <x:c r="A9" s="2"/>
      <x:c r="B9" s="2" t="str">
        <x:v>WACC exceeds terminal growth</x:v>
      </x:c>
      <x:c r="C9" s="5"/>
      <x:c r="D9" s="5" t="str">
        <x:f>IF(AND(ISNUMBER(Inputs!D8),ISNUMBER(Inputs!H8),Inputs!D8&gt;Inputs!H8),"Pass","Review")</x:f>
        <x:v>Pass</x:v>
      </x:c>
      <x:c r="E9" s="5"/>
      <x:c r="F9" s="5" t="str">
        <x:v>Positive spread; assumptions still need judgment.</x:v>
      </x:c>
      <x:c r="G9" s="5"/>
      <x:c r="H9" s="5"/>
      <x:c r="I9" s="2"/>
    </x:row>
    <x:row r="10" ht="22" customHeight="1">
      <x:c r="A10" s="2"/>
      <x:c r="B10" s="2" t="str">
        <x:v>Terminal reinvestment supported</x:v>
      </x:c>
      <x:c r="C10" s="5"/>
      <x:c r="D10" s="5" t="str">
        <x:f>IF(AND(ISNUMBER(DCF!D34),Inputs!H8&gt;=0,DCF!D34&gt;=0,DCF!D34&lt;=1),"Pass","Review")</x:f>
        <x:v>Pass</x:v>
      </x:c>
      <x:c r="E10" s="5"/>
      <x:c r="F10" s="5" t="str">
        <x:v>Non-negative growth, reinvestment 0–100%.</x:v>
      </x:c>
      <x:c r="G10" s="5"/>
      <x:c r="H10" s="5"/>
      <x:c r="I10" s="2"/>
    </x:row>
    <x:row r="11" ht="22" customHeight="1">
      <x:c r="A11" s="2"/>
      <x:c r="B11" s="2" t="str">
        <x:v>Forecast output populated</x:v>
      </x:c>
      <x:c r="C11" s="5"/>
      <x:c r="D11" s="5" t="str">
        <x:f>IF(COUNT(DCF!D24:H24)=5,"Pass","Missing input")</x:f>
        <x:v>Pass</x:v>
      </x:c>
      <x:c r="E11" s="5"/>
      <x:c r="F11" s="5" t="str">
        <x:v>Five annual FCFF results.</x:v>
      </x:c>
      <x:c r="G11" s="5"/>
      <x:c r="H11" s="5"/>
      <x:c r="I11" s="2"/>
    </x:row>
    <x:row r="12" ht="22" customHeight="1">
      <x:c r="A12" s="2"/>
      <x:c r="B12" s="2" t="str">
        <x:v>Sensitivity center difference</x:v>
      </x:c>
      <x:c r="C12" s="5"/>
      <x:c r="D12" s="30" t="n">
        <x:f>IF(AND(ISNUMBER(DCF!F57),ISNUMBER(DCF!D39)),DCF!F57-DCF!D39,"Unavailable")</x:f>
        <x:v>0</x:v>
      </x:c>
      <x:c r="E12" s="5"/>
      <x:c r="F12" s="5" t="str">
        <x:v>Expected 0.00; same base assumptions.</x:v>
      </x:c>
      <x:c r="G12" s="5"/>
      <x:c r="H12" s="5"/>
      <x:c r="I12" s="2"/>
    </x:row>
    <x:row r="13" ht="22" customHeight="1">
      <x:c r="A13" s="2"/>
      <x:c r="B13" s="2" t="str">
        <x:v>Common equity bridge difference</x:v>
      </x:c>
      <x:c r="C13" s="5"/>
      <x:c r="D13" s="30" t="n">
        <x:f>IF(COUNT(DCF!D42:D47)=6,DCF!D47-DCF!D42-DCF!D43-DCF!D44+DCF!D45+DCF!D46,"Unavailable")</x:f>
        <x:v>0</x:v>
      </x:c>
      <x:c r="E13" s="5"/>
      <x:c r="F13" s="5" t="str">
        <x:v>Expected 0.00; all claims counted once.</x:v>
      </x:c>
      <x:c r="G13" s="5"/>
      <x:c r="H13" s="5"/>
      <x:c r="I13" s="2"/>
    </x:row>
    <x:row r="14" ht="22" customHeight="1">
      <x:c r="A14" s="2"/>
      <x:c r="B14" s="2" t="str">
        <x:v>Shares positive</x:v>
      </x:c>
      <x:c r="C14" s="5"/>
      <x:c r="D14" s="5" t="str">
        <x:f>IF(AND(ISNUMBER(Inputs!H10),Inputs!H10&gt;0),"Pass","Review")</x:f>
        <x:v>Pass</x:v>
      </x:c>
      <x:c r="E14" s="5"/>
      <x:c r="F14" s="5" t="str">
        <x:v>Use relevant fully diluted share count.</x:v>
      </x:c>
      <x:c r="G14" s="5"/>
      <x:c r="H14" s="5"/>
      <x:c r="I14" s="2"/>
    </x:row>
    <x:row r="15" ht="22" customHeight="1">
      <x:c r="A15" s="2"/>
      <x:c r="B15" s="2" t="str">
        <x:v>Forecast EBITDA margins</x:v>
      </x:c>
      <x:c r="C15" s="5"/>
      <x:c r="D15" s="5" t="str">
        <x:f>IF(AND(MIN(Inputs!D18:H18)&gt;=0,MAX(Inputs!D18:H18)&lt;=1),"Pass","Review")</x:f>
        <x:v>Pass</x:v>
      </x:c>
      <x:c r="E15" s="5"/>
      <x:c r="F15" s="5" t="str">
        <x:v>Outside 0–100% needs a tailored model.</x:v>
      </x:c>
      <x:c r="G15" s="5"/>
      <x:c r="H15" s="5"/>
      <x:c r="I15" s="2"/>
    </x:row>
    <x:row r="16" ht="22" customHeight="1">
      <x:c r="A16" s="2"/>
      <x:c r="B16" s="2" t="str">
        <x:v>Terminal share of EV</x:v>
      </x:c>
      <x:c r="C16" s="5"/>
      <x:c r="D16" s="11" t="n">
        <x:f>DCF!H8</x:f>
        <x:v>0.709343342356019</x:v>
      </x:c>
      <x:c r="E16" s="5"/>
      <x:c r="F16" s="5" t="str">
        <x:v>Inspect dependence on terminal assumptions.</x:v>
      </x:c>
      <x:c r="G16" s="5"/>
      <x:c r="H16" s="5"/>
      <x:c r="I16" s="2"/>
    </x:row>
    <x:row r="17" ht="22" customHeight="1">
      <x:c r="A17" s="2"/>
      <x:c r="B17" s="2" t="str">
        <x:v>Growth at least −100%</x:v>
      </x:c>
      <x:c r="C17" s="5"/>
      <x:c r="D17" s="5" t="str">
        <x:f>IF(AND(COUNT(Inputs!D17:H17)=5,MIN(Inputs!D17:H17)&gt;=-1),"Pass","Review")</x:f>
        <x:v>Pass</x:v>
      </x:c>
      <x:c r="E17" s="5"/>
      <x:c r="F17" s="5" t="str">
        <x:v>Revenue cannot fall below zero.</x:v>
      </x:c>
      <x:c r="G17" s="5"/>
      <x:c r="H17" s="5"/>
      <x:c r="I17" s="2"/>
    </x:row>
    <x:row r="18" ht="22" customHeight="1">
      <x:c r="A18" s="2"/>
      <x:c r="B18" s="2" t="str">
        <x:v>D&amp;A and capex non-negative</x:v>
      </x:c>
      <x:c r="C18" s="5"/>
      <x:c r="D18" s="5" t="str">
        <x:f>IF(AND(COUNT(Inputs!D19:H19,Inputs!D21:H21)=10,MIN(Inputs!D19:H19,Inputs!D21:H21)&gt;=0),"Pass","Review")</x:f>
        <x:v>Pass</x:v>
      </x:c>
      <x:c r="E18" s="5"/>
      <x:c r="F18" s="5" t="str">
        <x:v>Use positive expense and spending rates.</x:v>
      </x:c>
      <x:c r="G18" s="5"/>
      <x:c r="H18" s="5"/>
      <x:c r="I18" s="2"/>
    </x:row>
    <x:row r="19" ht="22" customHeight="1">
      <x:c r="A19" s="2"/>
      <x:c r="B19" s="2" t="str">
        <x:v>Tax rates within 0–100%</x:v>
      </x:c>
      <x:c r="C19" s="5"/>
      <x:c r="D19" s="5" t="str">
        <x:f>IF(AND(COUNT(Inputs!D20:H20,Inputs!H9)=6,MIN(Inputs!D20:H20,Inputs!H9)&gt;=0,MAX(Inputs!D20:H20,Inputs!H9)&lt;=1),"Pass","Review")</x:f>
        <x:v>Pass</x:v>
      </x:c>
      <x:c r="E19" s="5"/>
      <x:c r="F19" s="5" t="str">
        <x:v>Unusual tax structures need a separate schedule.</x:v>
      </x:c>
      <x:c r="G19" s="5"/>
      <x:c r="H19" s="5"/>
      <x:c r="I19" s="2"/>
    </x:row>
    <x:row r="20" ht="22" customHeight="1">
      <x:c r="A20" s="2"/>
      <x:c r="B20" s="2" t="str">
        <x:v>Cash, assets and claims positive</x:v>
      </x:c>
      <x:c r="C20" s="5"/>
      <x:c r="D20" s="5" t="str">
        <x:f>IF(AND(COUNT(Inputs!D10:D13)=4,MIN(Inputs!D10:D13)&gt;=0),"Pass","Review")</x:f>
        <x:v>Pass</x:v>
      </x:c>
      <x:c r="E20" s="5"/>
      <x:c r="F20" s="5" t="str">
        <x:v>Zero permitted; signs are applied in the bridge.</x:v>
      </x:c>
      <x:c r="G20" s="5"/>
      <x:c r="H20" s="5"/>
      <x:c r="I20" s="2"/>
    </x:row>
    <x:row r="21" ht="22" customHeight="1">
      <x:c r="A21" s="2"/>
      <x:c r="B21" s="2" t="str">
        <x:v>Stable terminal EBIT positive</x:v>
      </x:c>
      <x:c r="C21" s="5"/>
      <x:c r="D21" s="5" t="str">
        <x:f>IF(AND(ISNUMBER(DCF!H17),DCF!H17&gt;0),"Pass","Review")</x:f>
        <x:v>Pass</x:v>
      </x:c>
      <x:c r="E21" s="5"/>
      <x:c r="F21" s="5" t="str">
        <x:v>Loss-making terminal state needs another method.</x:v>
      </x:c>
      <x:c r="G21" s="5"/>
      <x:c r="H21" s="5"/>
      <x:c r="I21" s="2"/>
    </x:row>
    <x:row r="22" ht="22" customHeight="1">
      <x:c r="A22" s="2"/>
      <x:c r="B22" s="2" t="str">
        <x:v>Common equity residual non-negative</x:v>
      </x:c>
      <x:c r="C22" s="5"/>
      <x:c r="D22" s="5" t="str">
        <x:f>IF(AND(ISNUMBER(DCF!D47),DCF!D47&gt;=0),"Pass","Review")</x:f>
        <x:v>Pass</x:v>
      </x:c>
      <x:c r="E22" s="5"/>
      <x:c r="F22" s="5" t="str">
        <x:v>Negative residual requires distress analysis.</x:v>
      </x:c>
      <x:c r="G22" s="5"/>
      <x:c r="H22" s="5"/>
      <x:c r="I22" s="2"/>
    </x:row>
    <x:row r="23" ht="22" customHeight="1">
      <x:c r="A23" s="2"/>
      <x:c r="B23" s="2"/>
      <x:c r="C23" s="5"/>
      <x:c r="D23" s="5"/>
      <x:c r="E23" s="5"/>
      <x:c r="F23" s="5"/>
      <x:c r="G23" s="5"/>
      <x:c r="H23" s="5"/>
      <x:c r="I23" s="2"/>
    </x:row>
    <x:row r="24" ht="22" customHeight="1">
      <x:c r="A24" s="2"/>
      <x:c r="B24" s="2"/>
      <x:c r="C24" s="5"/>
      <x:c r="D24" s="5"/>
      <x:c r="E24" s="5"/>
      <x:c r="F24" s="5"/>
      <x:c r="G24" s="5"/>
      <x:c r="H24" s="5"/>
      <x:c r="I24" s="2"/>
    </x:row>
    <x:row r="25" ht="22" customHeight="1">
      <x:c r="A25" s="2"/>
      <x:c r="B25" s="2" t="str">
        <x:v>Not performed: source verification for a real company or recalculation in desktop Excel / Google Sheets.</x:v>
      </x:c>
      <x:c r="C25" s="5"/>
      <x:c r="D25" s="5"/>
      <x:c r="E25" s="5"/>
      <x:c r="F25" s="5"/>
      <x:c r="G25" s="5"/>
      <x:c r="H25" s="5"/>
      <x:c r="I25" s="2"/>
    </x:row>
    <x:row r="26" ht="22" customHeight="1">
      <x:c r="A26" s="2"/>
      <x:c r="B26" s="2" t="str">
        <x:v>Release tested in Artifact Tool against independent Python calculations and input-change cases.</x:v>
      </x:c>
      <x:c r="C26" s="5"/>
      <x:c r="D26" s="5"/>
      <x:c r="E26" s="5"/>
      <x:c r="F26" s="5"/>
      <x:c r="G26" s="5"/>
      <x:c r="H26" s="5"/>
      <x:c r="I26" s="2"/>
    </x:row>
    <x:row r="27" ht="22" customHeight="1">
      <x:c r="A27" s="2"/>
      <x:c r="B27" s="2" t="str">
        <x:v>This is a simplified operating DCF. It is not a funding, debt-service or full three-statement model.</x:v>
      </x:c>
      <x:c r="C27" s="5"/>
      <x:c r="D27" s="5"/>
      <x:c r="E27" s="5"/>
      <x:c r="F27" s="5"/>
      <x:c r="G27" s="5"/>
      <x:c r="H27" s="5"/>
      <x:c r="I27" s="2"/>
    </x:row>
    <x:row r="28" ht="22" customHeight="1">
      <x:c r="A28" s="2"/>
      <x:c r="B28" s="2" t="str">
        <x:v>Keep a separate source map and assumptions register. Review your adapted copy before relying on it.</x:v>
      </x:c>
      <x:c r="C28" s="5"/>
      <x:c r="D28" s="5"/>
      <x:c r="E28" s="5"/>
      <x:c r="F28" s="5"/>
      <x:c r="G28" s="5"/>
      <x:c r="H28" s="5"/>
      <x:c r="I28" s="2"/>
    </x:row>
    <x:row r="29" ht="22" customHeight="1">
      <x:c r="A29" s="2"/>
      <x:c r="B29" s="2"/>
      <x:c r="C29" s="5"/>
      <x:c r="D29" s="5"/>
      <x:c r="E29" s="5"/>
      <x:c r="F29" s="5"/>
      <x:c r="G29" s="5"/>
      <x:c r="H29" s="5"/>
      <x:c r="I29" s="2"/>
    </x:row>
    <x:row r="30" ht="22" customHeight="1">
      <x:c r="A30" s="2"/>
      <x:c r="B30" s="2" t="str">
        <x:v>Reuse: copy and adapt this Capital Control starter for your own work. No third-party model is included.</x:v>
      </x:c>
      <x:c r="C30" s="5"/>
      <x:c r="D30" s="5"/>
      <x:c r="E30" s="5"/>
      <x:c r="F30" s="5"/>
      <x:c r="G30" s="5"/>
      <x:c r="H30" s="5"/>
      <x:c r="I30" s="2"/>
    </x:row>
    <x:row r="31" ht="22" customHeight="1">
      <x:c r="A31" s="2"/>
      <x:c r="B31" s="2" t="str">
        <x:v>Educational information only. No financial, investment, tax or legal advice or buy/sell/hold recommendation.</x:v>
      </x:c>
      <x:c r="C31" s="5"/>
      <x:c r="D31" s="5"/>
      <x:c r="E31" s="5"/>
      <x:c r="F31" s="5"/>
      <x:c r="G31" s="5"/>
      <x:c r="H31" s="5"/>
      <x:c r="I31" s="2"/>
    </x:row>
    <x:row r="32" ht="22" customHeight="1">
      <x:c r="A32" s="2"/>
      <x:c r="B32" s="2" t="str">
        <x:v>No offer or solicitation. Assumptions are hypothetical; model outputs do not predict or guarantee results.</x:v>
      </x:c>
      <x:c r="C32" s="5"/>
      <x:c r="D32" s="5"/>
      <x:c r="E32" s="5"/>
      <x:c r="F32" s="5"/>
      <x:c r="G32" s="5"/>
      <x:c r="H32" s="5"/>
      <x:c r="I32" s="2"/>
    </x:row>
    <x:row r="33" ht="22" customHeight="1">
      <x:c r="A33" s="2"/>
      <x:c r="B33" s="2" t="str">
        <x:v>Public materials do not assess your circumstances or create an advisor-client relationship.</x:v>
      </x:c>
      <x:c r="C33" s="5"/>
      <x:c r="D33" s="5"/>
      <x:c r="E33" s="5"/>
      <x:c r="F33" s="5"/>
      <x:c r="G33" s="5"/>
      <x:c r="H33" s="5"/>
      <x:c r="I33" s="2"/>
    </x:row>
    <x:row r="34" ht="22" customHeight="1">
      <x:c r="A34" s="2"/>
      <x:c r="B34" s="2"/>
      <x:c r="C34" s="5"/>
      <x:c r="D34" s="5"/>
      <x:c r="E34" s="5"/>
      <x:c r="F34" s="5"/>
      <x:c r="G34" s="5"/>
      <x:c r="H34" s="5"/>
      <x:c r="I34" s="2"/>
    </x:row>
  </x:sheetData>
  <x:conditionalFormatting sqref="D8:D22">
    <x:cfRule type="containsText" dxfId="0" priority="1" operator="containsText" text="Review"/>
    <x:cfRule type="containsText" dxfId="1" priority="2" operator="containsText" text="Missing"/>
  </x:conditionalFormatting>
  <x:conditionalFormatting sqref="D12:D12">
    <x:cfRule type="expression" dxfId="2" priority="3">
      <x:formula>ABS(D12)&gt;0.000001</x:formula>
    </x:cfRule>
  </x:conditionalFormatting>
  <x:conditionalFormatting sqref="D13:D13">
    <x:cfRule type="expression" dxfId="3" priority="4">
      <x:formula>ABS(D13)&gt;0.000001</x:formula>
    </x:cfRule>
  </x:conditionalFormatting>
  <x:pageMargins left="0.7" right="0.7" top="0.75" bottom="0.75" header="0.3" footer="0.3"/>
</x:worksheet>
</file>